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filterPrivacy="1"/>
  <xr:revisionPtr revIDLastSave="0" documentId="13_ncr:1_{5BA32122-8B9B-4A37-90B1-7B180DB7EF08}" xr6:coauthVersionLast="45" xr6:coauthVersionMax="45" xr10:uidLastSave="{00000000-0000-0000-0000-000000000000}"/>
  <bookViews>
    <workbookView xWindow="14340" yWindow="0" windowWidth="14460" windowHeight="14985" firstSheet="27" activeTab="33" xr2:uid="{00000000-000D-0000-FFFF-FFFF00000000}"/>
  </bookViews>
  <sheets>
    <sheet name="X3.1" sheetId="199" r:id="rId1"/>
    <sheet name="X3.2" sheetId="200" r:id="rId2"/>
    <sheet name="X3.3" sheetId="201" r:id="rId3"/>
    <sheet name="X3.4" sheetId="202" r:id="rId4"/>
    <sheet name="X3.5" sheetId="203" r:id="rId5"/>
    <sheet name="X3.6" sheetId="219" r:id="rId6"/>
    <sheet name="X3.7" sheetId="221" r:id="rId7"/>
    <sheet name="X3.8" sheetId="220" r:id="rId8"/>
    <sheet name="X3.9" sheetId="204" r:id="rId9"/>
    <sheet name="X3.10" sheetId="205" r:id="rId10"/>
    <sheet name="X3.11" sheetId="142" r:id="rId11"/>
    <sheet name="X3.12" sheetId="141" r:id="rId12"/>
    <sheet name="X3.13-X3.15" sheetId="224" r:id="rId13"/>
    <sheet name="X3.16" sheetId="99" r:id="rId14"/>
    <sheet name="X3.17" sheetId="100" r:id="rId15"/>
    <sheet name="X3.18" sheetId="101" r:id="rId16"/>
    <sheet name="X3.19" sheetId="102" r:id="rId17"/>
    <sheet name="X3.20" sheetId="103" r:id="rId18"/>
    <sheet name="X3.21" sheetId="104" r:id="rId19"/>
    <sheet name="X3.22" sheetId="105" r:id="rId20"/>
    <sheet name="X3.23" sheetId="106" r:id="rId21"/>
    <sheet name="X3.24" sheetId="107" r:id="rId22"/>
    <sheet name="X3.25" sheetId="108" r:id="rId23"/>
    <sheet name="X3.26" sheetId="109" r:id="rId24"/>
    <sheet name="X3.27" sheetId="110" r:id="rId25"/>
    <sheet name="TU3.1" sheetId="164" r:id="rId26"/>
    <sheet name="TU3.2" sheetId="116" r:id="rId27"/>
    <sheet name="TU3.3" sheetId="155" r:id="rId28"/>
    <sheet name="TU3.4" sheetId="152" r:id="rId29"/>
    <sheet name="TU3.5" sheetId="153" r:id="rId30"/>
    <sheet name="TU3.6" sheetId="154" r:id="rId31"/>
    <sheet name="TU3.7" sheetId="69" r:id="rId32"/>
    <sheet name="TU3.8" sheetId="156" r:id="rId33"/>
    <sheet name="TU3.9" sheetId="157" r:id="rId34"/>
  </sheets>
  <definedNames>
    <definedName name="OLE_LINK2" localSheetId="25">'TU3.1'!$H$5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57" l="1"/>
  <c r="E43" i="157"/>
  <c r="D15" i="156"/>
  <c r="D19" i="152"/>
  <c r="K11" i="164"/>
  <c r="N13" i="109"/>
  <c r="E9" i="109"/>
  <c r="D15" i="107"/>
  <c r="D27" i="105"/>
  <c r="H26" i="104"/>
  <c r="D18" i="104"/>
  <c r="E3" i="99"/>
  <c r="E30" i="157"/>
  <c r="D12" i="154"/>
  <c r="D15" i="152"/>
  <c r="K7" i="164"/>
  <c r="L19" i="109"/>
  <c r="E17" i="108"/>
  <c r="D7" i="107"/>
  <c r="D25" i="105"/>
  <c r="H21" i="104"/>
  <c r="D17" i="104"/>
  <c r="E17" i="101"/>
  <c r="D5" i="141"/>
  <c r="D10" i="221"/>
  <c r="D11" i="199"/>
  <c r="K17" i="104"/>
  <c r="D20" i="221"/>
  <c r="E25" i="157"/>
  <c r="D10" i="154"/>
  <c r="D14" i="152"/>
  <c r="D13" i="110"/>
  <c r="L16" i="109"/>
  <c r="E16" i="108"/>
  <c r="E13" i="106"/>
  <c r="D24" i="105"/>
  <c r="H20" i="104"/>
  <c r="D11" i="104"/>
  <c r="E13" i="101"/>
  <c r="D6" i="142"/>
  <c r="D7" i="221"/>
  <c r="D12" i="199"/>
  <c r="D10" i="199"/>
  <c r="E14" i="157"/>
  <c r="O18" i="109"/>
  <c r="G22" i="105"/>
  <c r="H17" i="104"/>
  <c r="D8" i="204"/>
  <c r="D19" i="156"/>
  <c r="D10" i="116"/>
  <c r="D19" i="107"/>
  <c r="K21" i="104"/>
  <c r="E20" i="101"/>
  <c r="D7" i="220"/>
  <c r="D17" i="156"/>
  <c r="D8" i="116"/>
  <c r="N16" i="109"/>
  <c r="D28" i="105"/>
  <c r="E5" i="99"/>
  <c r="E16" i="101"/>
  <c r="D15" i="221"/>
  <c r="E18" i="157"/>
  <c r="D8" i="154"/>
  <c r="D9" i="152"/>
  <c r="D14" i="110"/>
  <c r="L13" i="109"/>
  <c r="E11" i="108"/>
  <c r="E14" i="106"/>
  <c r="D20" i="105"/>
  <c r="H19" i="104"/>
  <c r="D10" i="103"/>
  <c r="E10" i="101"/>
  <c r="D5" i="142"/>
  <c r="D11" i="200"/>
  <c r="D25" i="152"/>
  <c r="G9" i="109"/>
  <c r="J23" i="104"/>
  <c r="D10" i="100"/>
  <c r="D24" i="152"/>
  <c r="F18" i="109"/>
  <c r="D16" i="104"/>
  <c r="D7" i="200"/>
  <c r="D15" i="104"/>
  <c r="E17" i="157"/>
  <c r="D10" i="153"/>
  <c r="D19" i="155"/>
  <c r="D9" i="110"/>
  <c r="G12" i="109"/>
  <c r="E9" i="108"/>
  <c r="E9" i="106"/>
  <c r="D8" i="105"/>
  <c r="H18" i="104"/>
  <c r="D18" i="102"/>
  <c r="D14" i="100"/>
  <c r="D8" i="205"/>
  <c r="D12" i="200"/>
  <c r="D9" i="199"/>
  <c r="D12" i="116"/>
  <c r="D21" i="107"/>
  <c r="D9" i="102"/>
  <c r="D10" i="200"/>
  <c r="E47" i="157"/>
  <c r="F14" i="109"/>
  <c r="E22" i="105"/>
  <c r="E4" i="99"/>
  <c r="E46" i="157"/>
  <c r="D20" i="152"/>
  <c r="E12" i="109"/>
  <c r="D14" i="107"/>
  <c r="E18" i="101"/>
  <c r="D9" i="200"/>
  <c r="D7" i="199"/>
  <c r="E30" i="203" l="1"/>
  <c r="E26" i="203"/>
  <c r="E11" i="203"/>
  <c r="D10" i="202"/>
  <c r="C9" i="201"/>
  <c r="C10" i="201"/>
  <c r="C13" i="201"/>
  <c r="F30" i="203"/>
  <c r="D12" i="201"/>
  <c r="D13" i="201"/>
  <c r="D9" i="201"/>
  <c r="D11" i="201"/>
  <c r="F26" i="203"/>
  <c r="F21" i="203"/>
  <c r="F34" i="203"/>
  <c r="F19" i="203"/>
  <c r="F11" i="203"/>
  <c r="D7" i="203"/>
  <c r="D10" i="201"/>
  <c r="C19" i="155" l="1"/>
  <c r="C7" i="220" l="1"/>
  <c r="C20" i="221"/>
  <c r="C15" i="221"/>
  <c r="C10" i="221"/>
  <c r="C7" i="221"/>
  <c r="C8" i="205" l="1"/>
  <c r="C8" i="204"/>
  <c r="C7" i="203"/>
  <c r="E19" i="203"/>
  <c r="C7" i="201"/>
  <c r="C7" i="200"/>
  <c r="C9" i="200"/>
  <c r="C10" i="200"/>
  <c r="C11" i="200"/>
  <c r="C12" i="200"/>
  <c r="C7" i="199"/>
  <c r="C10" i="199" s="1"/>
  <c r="E34" i="203" l="1"/>
  <c r="E21" i="203"/>
  <c r="C12" i="201"/>
  <c r="C11" i="201"/>
  <c r="C9" i="199"/>
  <c r="C11" i="199"/>
  <c r="C12" i="199"/>
  <c r="D46" i="157" l="1"/>
  <c r="D43" i="157"/>
  <c r="D17" i="157"/>
  <c r="C15" i="156"/>
  <c r="C19" i="156" s="1"/>
  <c r="C17" i="154"/>
  <c r="C10" i="154"/>
  <c r="C12" i="154" s="1"/>
  <c r="C8" i="154"/>
  <c r="C10" i="153"/>
  <c r="C25" i="152"/>
  <c r="C24" i="152"/>
  <c r="C20" i="152"/>
  <c r="C15" i="152"/>
  <c r="C10" i="152"/>
  <c r="C19" i="152"/>
  <c r="C14" i="152"/>
  <c r="C9" i="152"/>
  <c r="E8" i="164"/>
  <c r="D8" i="164"/>
  <c r="J11" i="164" s="1"/>
  <c r="F7" i="164"/>
  <c r="F6" i="164"/>
  <c r="J7" i="164" s="1"/>
  <c r="F8" i="164" l="1"/>
  <c r="D47" i="157"/>
  <c r="D18" i="157"/>
  <c r="D30" i="157" s="1"/>
  <c r="C17" i="156"/>
  <c r="D25" i="157" l="1"/>
  <c r="C5" i="141" l="1"/>
  <c r="C6" i="142"/>
  <c r="C5" i="142"/>
  <c r="C8" i="116" l="1"/>
  <c r="C10" i="116"/>
  <c r="C12" i="116" s="1"/>
  <c r="C9" i="110"/>
  <c r="C13" i="110"/>
  <c r="C14" i="110"/>
  <c r="D9" i="109"/>
  <c r="F9" i="109" s="1"/>
  <c r="D10" i="109"/>
  <c r="F10" i="109" s="1"/>
  <c r="K10" i="109"/>
  <c r="K14" i="109" s="1"/>
  <c r="D11" i="109"/>
  <c r="F11" i="109" s="1"/>
  <c r="D12" i="109"/>
  <c r="F12" i="109" s="1"/>
  <c r="K16" i="109"/>
  <c r="D9" i="108"/>
  <c r="D11" i="108" s="1"/>
  <c r="D16" i="108"/>
  <c r="D17" i="108" s="1"/>
  <c r="C7" i="107"/>
  <c r="C14" i="107" s="1"/>
  <c r="D9" i="106"/>
  <c r="D13" i="106"/>
  <c r="D14" i="106"/>
  <c r="C8" i="105"/>
  <c r="E8" i="105" s="1"/>
  <c r="C9" i="105"/>
  <c r="E9" i="105" s="1"/>
  <c r="G9" i="105" s="1"/>
  <c r="C10" i="105"/>
  <c r="E10" i="105" s="1"/>
  <c r="G10" i="105" s="1"/>
  <c r="C11" i="105"/>
  <c r="E11" i="105" s="1"/>
  <c r="G11" i="105" s="1"/>
  <c r="C12" i="105"/>
  <c r="E12" i="105" s="1"/>
  <c r="G12" i="105" s="1"/>
  <c r="C13" i="105"/>
  <c r="E13" i="105" s="1"/>
  <c r="G13" i="105" s="1"/>
  <c r="C14" i="105"/>
  <c r="E14" i="105" s="1"/>
  <c r="G14" i="105" s="1"/>
  <c r="C15" i="105"/>
  <c r="E15" i="105" s="1"/>
  <c r="G15" i="105" s="1"/>
  <c r="C16" i="105"/>
  <c r="E16" i="105" s="1"/>
  <c r="G16" i="105" s="1"/>
  <c r="C17" i="105"/>
  <c r="E17" i="105" s="1"/>
  <c r="G17" i="105" s="1"/>
  <c r="C18" i="105"/>
  <c r="E18" i="105" s="1"/>
  <c r="G18" i="105" s="1"/>
  <c r="C19" i="105"/>
  <c r="E19" i="105" s="1"/>
  <c r="G19" i="105" s="1"/>
  <c r="C20" i="105"/>
  <c r="E20" i="105" s="1"/>
  <c r="G20" i="105" s="1"/>
  <c r="C25" i="105"/>
  <c r="C11" i="104"/>
  <c r="G17" i="104" s="1"/>
  <c r="C15" i="104"/>
  <c r="G19" i="104" s="1"/>
  <c r="J19" i="104" s="1"/>
  <c r="C16" i="104"/>
  <c r="G20" i="104" s="1"/>
  <c r="J20" i="104" s="1"/>
  <c r="C17" i="104"/>
  <c r="G21" i="104" s="1"/>
  <c r="J21" i="104" s="1"/>
  <c r="G18" i="104"/>
  <c r="J18" i="104" s="1"/>
  <c r="C3" i="103"/>
  <c r="C4" i="103"/>
  <c r="C9" i="102"/>
  <c r="C18" i="102" s="1"/>
  <c r="D10" i="101"/>
  <c r="D13" i="101"/>
  <c r="D16" i="101"/>
  <c r="D20" i="101" s="1"/>
  <c r="D17" i="101"/>
  <c r="D18" i="101"/>
  <c r="C10" i="100"/>
  <c r="C11" i="100"/>
  <c r="C12" i="100"/>
  <c r="C13" i="100"/>
  <c r="C14" i="100"/>
  <c r="D3" i="99"/>
  <c r="D4" i="99"/>
  <c r="D5" i="99"/>
  <c r="M13" i="109" l="1"/>
  <c r="C10" i="103"/>
  <c r="K13" i="109"/>
  <c r="O13" i="109" s="1"/>
  <c r="M15" i="109"/>
  <c r="K15" i="109"/>
  <c r="M14" i="109"/>
  <c r="O14" i="109" s="1"/>
  <c r="C24" i="105"/>
  <c r="C21" i="107"/>
  <c r="J17" i="104"/>
  <c r="J22" i="104" s="1"/>
  <c r="G26" i="104" s="1"/>
  <c r="G22" i="104"/>
  <c r="C15" i="107"/>
  <c r="C19" i="107"/>
  <c r="G8" i="105"/>
  <c r="G21" i="105" s="1"/>
  <c r="E21" i="105"/>
  <c r="C27" i="105" s="1"/>
  <c r="F13" i="109"/>
  <c r="E18" i="109" s="1"/>
  <c r="C18" i="104"/>
  <c r="M16" i="109"/>
  <c r="O16" i="109" s="1"/>
  <c r="C28" i="105" l="1"/>
  <c r="O15" i="109"/>
  <c r="O17" i="109" s="1"/>
  <c r="K19" i="109" s="1"/>
  <c r="V25" i="69" l="1"/>
  <c r="V24" i="69"/>
  <c r="V16" i="69"/>
  <c r="V15" i="69"/>
  <c r="P6" i="69"/>
  <c r="Q11" i="69" s="1"/>
  <c r="R11" i="69" s="1"/>
  <c r="P5" i="69"/>
  <c r="Q10" i="69" s="1"/>
  <c r="P20" i="69"/>
  <c r="P19" i="69"/>
  <c r="P11" i="69"/>
  <c r="P10" i="69"/>
  <c r="J20" i="69"/>
  <c r="J19" i="69"/>
  <c r="J11" i="69"/>
  <c r="J10" i="69"/>
  <c r="J6" i="69"/>
  <c r="K11" i="69" s="1"/>
  <c r="J5" i="69"/>
  <c r="K19" i="69" s="1"/>
  <c r="L19" i="69" l="1"/>
  <c r="R10" i="69"/>
  <c r="K10" i="69"/>
  <c r="L10" i="69"/>
  <c r="L11" i="69"/>
  <c r="K20" i="69"/>
  <c r="L20" i="69" s="1"/>
  <c r="Q13" i="69"/>
  <c r="Q20" i="69"/>
  <c r="R20" i="69" s="1"/>
  <c r="Q19" i="69"/>
  <c r="K13" i="69" l="1"/>
  <c r="R19" i="69"/>
  <c r="Q22" i="69" s="1"/>
  <c r="K22" i="69"/>
</calcChain>
</file>

<file path=xl/sharedStrings.xml><?xml version="1.0" encoding="utf-8"?>
<sst xmlns="http://schemas.openxmlformats.org/spreadsheetml/2006/main" count="475" uniqueCount="344">
  <si>
    <t>Total =</t>
  </si>
  <si>
    <t>X*P(X)</t>
  </si>
  <si>
    <t>Totals =</t>
  </si>
  <si>
    <t>P(M) =</t>
  </si>
  <si>
    <t>mean =</t>
  </si>
  <si>
    <t>variance =</t>
  </si>
  <si>
    <t>Accept</t>
  </si>
  <si>
    <t>X</t>
  </si>
  <si>
    <t>P(X)</t>
  </si>
  <si>
    <t>Reject</t>
  </si>
  <si>
    <t>(a)</t>
  </si>
  <si>
    <t>(a) Profit and loss table</t>
  </si>
  <si>
    <t>DECISION</t>
  </si>
  <si>
    <t>Type of Risk</t>
  </si>
  <si>
    <t>Good</t>
  </si>
  <si>
    <t>Bad</t>
  </si>
  <si>
    <t>(b) Expected profits</t>
  </si>
  <si>
    <t xml:space="preserve">P(good risk) = P(G) = </t>
  </si>
  <si>
    <t xml:space="preserve">P(bad risk) = P(B) = </t>
  </si>
  <si>
    <t>x P(X)</t>
  </si>
  <si>
    <t>E(accepts) =</t>
  </si>
  <si>
    <t>Makes a profit of £1000 if accepts</t>
  </si>
  <si>
    <t>Makes a loss of £1000 if rejects</t>
  </si>
  <si>
    <t>Applicant should be accepted</t>
  </si>
  <si>
    <t>(c) Change in risk values</t>
  </si>
  <si>
    <t>=1/3</t>
  </si>
  <si>
    <t>=2/3</t>
  </si>
  <si>
    <t>=4/5</t>
  </si>
  <si>
    <t>=1/5</t>
  </si>
  <si>
    <t>Makes a loss of £1800 if accepts</t>
  </si>
  <si>
    <t>Makes a loss of £600 if rejects</t>
  </si>
  <si>
    <t>Applicant should not be accepted</t>
  </si>
  <si>
    <t>(d) Calculate x</t>
  </si>
  <si>
    <t>Let x = good risk</t>
  </si>
  <si>
    <t>PG) = x and P(B) = 1 - x</t>
  </si>
  <si>
    <t>Require expected values to be equal to be indifferent to either accept or reject.</t>
  </si>
  <si>
    <t>Solve for x</t>
  </si>
  <si>
    <t>=-6000*(1-x)</t>
  </si>
  <si>
    <t>=15000x</t>
  </si>
  <si>
    <t>=15000x-6000(1-x)</t>
  </si>
  <si>
    <t>=x</t>
  </si>
  <si>
    <t>=1-x</t>
  </si>
  <si>
    <t>=-3000x</t>
  </si>
  <si>
    <t>15000x-6000(1-x) = -3000x</t>
  </si>
  <si>
    <t>Solve for x:</t>
  </si>
  <si>
    <t>Find x = 0.25</t>
  </si>
  <si>
    <t>Indifferent if P(good risk) = 1/4 or 0.25.</t>
  </si>
  <si>
    <t>X =</t>
  </si>
  <si>
    <t>Z =</t>
  </si>
  <si>
    <t>=SQRT(C6)</t>
  </si>
  <si>
    <t>n =</t>
  </si>
  <si>
    <t>Binomial distribution</t>
  </si>
  <si>
    <t>P(X = 3) =</t>
  </si>
  <si>
    <t>P(X &gt; 5) =</t>
  </si>
  <si>
    <t>P(X=r)</t>
  </si>
  <si>
    <t>Poisson</t>
  </si>
  <si>
    <t>Binomial</t>
  </si>
  <si>
    <t>p =</t>
  </si>
  <si>
    <t>2C0 =</t>
  </si>
  <si>
    <t>(c) 2C0</t>
  </si>
  <si>
    <t>10C3 =</t>
  </si>
  <si>
    <t>(b) 10C3</t>
  </si>
  <si>
    <t>3C1 =</t>
  </si>
  <si>
    <t>(a) 3C1</t>
  </si>
  <si>
    <t>(b) Histogram</t>
  </si>
  <si>
    <t>(a) Calculate P(X=0, 1, 2, 3, 4)</t>
  </si>
  <si>
    <t>P(X &lt; 3) =</t>
  </si>
  <si>
    <t>P(X = 2) =</t>
  </si>
  <si>
    <t>P(X = 1) =</t>
  </si>
  <si>
    <t>P(X = 0) =</t>
  </si>
  <si>
    <t>(c) P(less than 3 women) = P(X &lt; 3) = (X = 0, 1, 2) if X represents women</t>
  </si>
  <si>
    <t>(b) P(three men) = P(X = 3) if X represents men</t>
  </si>
  <si>
    <t>P(X = 6) =</t>
  </si>
  <si>
    <t>(a) P(all women) = P(X = 6) if X represents women</t>
  </si>
  <si>
    <t>Random sample of 6 selected</t>
  </si>
  <si>
    <t>P(W) =</t>
  </si>
  <si>
    <t>Let M = Men and W = Women</t>
  </si>
  <si>
    <t>Probability stopped is 0.02.</t>
  </si>
  <si>
    <t>P(stopped) =</t>
  </si>
  <si>
    <t>P(stopped) = P(2nd failed, X =&gt; 1)*P(1st failed, X =&gt; 1)</t>
  </si>
  <si>
    <t xml:space="preserve">Assuming the two samples are independent then this equation simplifies </t>
  </si>
  <si>
    <t>Probability production line stopped = P(2nd sample failed and 1st sample failed)</t>
  </si>
  <si>
    <t>Probability 2nd sample taken 0.142625</t>
  </si>
  <si>
    <t>P(X =&gt; 1 on 1st sample) =</t>
  </si>
  <si>
    <t>P(2nd sample taken) = P(X =&gt; 1 on 1st sample) = 1 - P(X &lt; 1 on 1st sample)</t>
  </si>
  <si>
    <t>P(defective) =</t>
  </si>
  <si>
    <t>Sample size n =</t>
  </si>
  <si>
    <t>Let X be the number of defectives</t>
  </si>
  <si>
    <t>Probability that at least 3 vote is 67.7%</t>
  </si>
  <si>
    <t>P(X =&gt;3) =</t>
  </si>
  <si>
    <t>Assuming trials are independent and use binomial</t>
  </si>
  <si>
    <t>Probability that at least 3 vote = P(X=&gt;3) = P(X=3 or 4)?</t>
  </si>
  <si>
    <t>=5/7</t>
  </si>
  <si>
    <t>Probability person voted, P(v) =</t>
  </si>
  <si>
    <t>Would reject bid - but before you make a final decision calculate the dispersion factor</t>
  </si>
  <si>
    <t>(d) Expected cost for each weekend = £18,066 &lt; cost of emergency cost $20,000</t>
  </si>
  <si>
    <t>Expected cost =</t>
  </si>
  <si>
    <t>Total probability = 1</t>
  </si>
  <si>
    <t>=SUM(G17:G21)</t>
  </si>
  <si>
    <t>P(X =&gt; 2) =</t>
  </si>
  <si>
    <t>P(X = 4) =</t>
  </si>
  <si>
    <t>XP</t>
  </si>
  <si>
    <t>Cost, X (£s)</t>
  </si>
  <si>
    <t>Number of accidents</t>
  </si>
  <si>
    <t>Where X is the cost of the accident associated with number of accidents</t>
  </si>
  <si>
    <t>(c) Expected cost over the weekend E(X) = SUM xP</t>
  </si>
  <si>
    <t>(b) Probability of at least two accidents during weekend</t>
  </si>
  <si>
    <t>(a) Probability of no accidents during weekend</t>
  </si>
  <si>
    <t>Assume each accident are independent events</t>
  </si>
  <si>
    <t>Probability of accident over weekend = 0.25</t>
  </si>
  <si>
    <t>Let X = number of accidents over weekend</t>
  </si>
  <si>
    <t>We observe that the mean and variance are equal to 7 decimal places.</t>
  </si>
  <si>
    <t>Variance =</t>
  </si>
  <si>
    <t>Mean =</t>
  </si>
  <si>
    <t>P(X &gt; 6) =</t>
  </si>
  <si>
    <t>P(X &gt; 6) = 1-P(X&lt;=6)</t>
  </si>
  <si>
    <t>etc</t>
  </si>
  <si>
    <t>X^2 * P(X)</t>
  </si>
  <si>
    <t>Calculate P(X = r) for r = 0, 1, 2, 3, 4, 5, 6, &gt;6</t>
  </si>
  <si>
    <t>Poisson probability distribution with mean = 1.2</t>
  </si>
  <si>
    <t>P(X &gt; 1) =</t>
  </si>
  <si>
    <t>P(X &gt; 1) =1-P(X &lt;= 1)</t>
  </si>
  <si>
    <t>(b) P(X &gt; 1)?</t>
  </si>
  <si>
    <t>(a) P(X = 1)?</t>
  </si>
  <si>
    <t>Let X = machines out of operation</t>
  </si>
  <si>
    <t>Assuming Poisson distribution with mean = 2</t>
  </si>
  <si>
    <t>Binomial P(X =&gt; 1) =</t>
  </si>
  <si>
    <t>Poisson P(X =&gt; 1) =</t>
  </si>
  <si>
    <t>Observe we could use Poisson given mean approx equal to variance.</t>
  </si>
  <si>
    <t>Variance = npq =</t>
  </si>
  <si>
    <t>Mean = np =</t>
  </si>
  <si>
    <t>Could use binomial or Poisson</t>
  </si>
  <si>
    <t>P(X =&gt; 1) = 1- P(X &lt; 1) = 1 - P(X = 0)</t>
  </si>
  <si>
    <t>Let X = number of defectives per packet</t>
  </si>
  <si>
    <t>Sold in packets of 200</t>
  </si>
  <si>
    <t>Probability of defective p = 0.25%</t>
  </si>
  <si>
    <t>X &gt;</t>
  </si>
  <si>
    <t>Loge(0.95) =</t>
  </si>
  <si>
    <t>P =</t>
  </si>
  <si>
    <t>(b) FinD X for P(X = 0) &lt; 0.95</t>
  </si>
  <si>
    <t>Mean for 4 metres =</t>
  </si>
  <si>
    <t>Length of cloth =</t>
  </si>
  <si>
    <t>Mean for 1 metre =</t>
  </si>
  <si>
    <t>(a) P(length of 4 metres free from faults)?</t>
  </si>
  <si>
    <t>Poisson distribution with mean = 0.1</t>
  </si>
  <si>
    <t>Average number of faults = 0.1 per metre length of cloth</t>
  </si>
  <si>
    <t xml:space="preserve">Expected daily profit (£) = </t>
  </si>
  <si>
    <t>Expected =</t>
  </si>
  <si>
    <t>Expected number of cars hires = Sum XP</t>
  </si>
  <si>
    <t>X P(X)</t>
  </si>
  <si>
    <t>Profit per car, £</t>
  </si>
  <si>
    <t>Number of cars hired</t>
  </si>
  <si>
    <t>Profit on each car hire =</t>
  </si>
  <si>
    <t>Outgoings per day =</t>
  </si>
  <si>
    <t>Car hire per day =</t>
  </si>
  <si>
    <t>(b) Expected daily profit</t>
  </si>
  <si>
    <t>(a) Calculate P(X = r) for X = 0, 1, 2, 3</t>
  </si>
  <si>
    <t>Poisson distribution with mean = 2</t>
  </si>
  <si>
    <t>P(X &gt; 1) = 1 - P(X &lt;= 1) = 1 - P(X = 0 or 1)</t>
  </si>
  <si>
    <t>(a) P(X = 0)?</t>
  </si>
  <si>
    <t>Poisson distribution with mean = 2.6 per month</t>
  </si>
  <si>
    <t>Let X = number of accidents per month</t>
  </si>
  <si>
    <t>P(X &gt; 28000) = P(Z &gt; 0.6) =</t>
  </si>
  <si>
    <t>P(X &gt; 28000) =</t>
  </si>
  <si>
    <t>df =</t>
  </si>
  <si>
    <t>a =</t>
  </si>
  <si>
    <t>t =</t>
  </si>
  <si>
    <t>F =</t>
  </si>
  <si>
    <t>Chi-square test statistic =</t>
  </si>
  <si>
    <t>Number of degrees of freedom, df =</t>
  </si>
  <si>
    <t>x =</t>
  </si>
  <si>
    <r>
      <t xml:space="preserve">P(Chi-square </t>
    </r>
    <r>
      <rPr>
        <sz val="11"/>
        <rFont val="Symbol"/>
        <family val="1"/>
        <charset val="2"/>
      </rPr>
      <t>³</t>
    </r>
    <r>
      <rPr>
        <sz val="11"/>
        <rFont val="Calibri"/>
        <family val="2"/>
      </rPr>
      <t xml:space="preserve"> 3.042) =</t>
    </r>
  </si>
  <si>
    <r>
      <t xml:space="preserve">or P(Chi-square </t>
    </r>
    <r>
      <rPr>
        <sz val="11"/>
        <rFont val="Symbol"/>
        <family val="1"/>
        <charset val="2"/>
      </rPr>
      <t>³</t>
    </r>
    <r>
      <rPr>
        <sz val="11"/>
        <rFont val="Calibri"/>
        <family val="2"/>
        <scheme val="minor"/>
      </rPr>
      <t xml:space="preserve"> 3.042) =</t>
    </r>
  </si>
  <si>
    <r>
      <t xml:space="preserve">P(Chi-square </t>
    </r>
    <r>
      <rPr>
        <sz val="11"/>
        <rFont val="Calibri"/>
        <family val="2"/>
      </rPr>
      <t>≤ x) =</t>
    </r>
  </si>
  <si>
    <t>Exponential distribution</t>
  </si>
  <si>
    <t>Poisson distribution</t>
  </si>
  <si>
    <r>
      <rPr>
        <sz val="11"/>
        <rFont val="Symbol"/>
        <family val="1"/>
        <charset val="2"/>
      </rPr>
      <t>l</t>
    </r>
    <r>
      <rPr>
        <sz val="11"/>
        <rFont val="Calibri"/>
        <family val="2"/>
      </rPr>
      <t xml:space="preserve"> =</t>
    </r>
  </si>
  <si>
    <t>(b)</t>
  </si>
  <si>
    <t>or P(X = 0) =</t>
  </si>
  <si>
    <t>Totals</t>
  </si>
  <si>
    <t>Yes</t>
  </si>
  <si>
    <t>No</t>
  </si>
  <si>
    <t>Electrical fault</t>
  </si>
  <si>
    <t>Gas fault</t>
  </si>
  <si>
    <t>Calculate the probability that failure involves a gas fault given that it involves an electrical fault.</t>
  </si>
  <si>
    <t>Calculate the probability that failure involves an electrical given that it involves a gas fault.</t>
  </si>
  <si>
    <t>P(Electrical/Gas) =</t>
  </si>
  <si>
    <t>P(Gas/Electrical) =</t>
  </si>
  <si>
    <t xml:space="preserve">Using Excel </t>
  </si>
  <si>
    <t>P(X &gt; 2) =</t>
  </si>
  <si>
    <t>Rejects output if X &gt; 4 bars overweight</t>
  </si>
  <si>
    <t>Given success/failure (overweight/not overweight) then Binomial process WITH N = 70, P = 0.02</t>
  </si>
  <si>
    <t>P(X &gt; 4) = P(X = 5, 6, 7, 8, 9, ……, 100)</t>
  </si>
  <si>
    <r>
      <t xml:space="preserve">Now P(X &gt; 4) = 1 - P(X </t>
    </r>
    <r>
      <rPr>
        <sz val="11"/>
        <rFont val="Calibri"/>
        <family val="2"/>
      </rPr>
      <t>≤ 4) = 1 - [P(X=0) + P(X=1) + P(X=2) + P(X=3) + P(X=4)]</t>
    </r>
  </si>
  <si>
    <t>Probability that he will reject the output is 1.3%</t>
  </si>
  <si>
    <r>
      <t xml:space="preserve">Mean number of complainst per day, </t>
    </r>
    <r>
      <rPr>
        <sz val="11"/>
        <rFont val="Symbol"/>
        <family val="1"/>
        <charset val="2"/>
      </rPr>
      <t>l</t>
    </r>
    <r>
      <rPr>
        <sz val="11"/>
        <rFont val="Calibri"/>
        <family val="2"/>
        <scheme val="minor"/>
      </rPr>
      <t xml:space="preserve"> =</t>
    </r>
  </si>
  <si>
    <t>P(X = 1)</t>
  </si>
  <si>
    <t>P(X = 0)</t>
  </si>
  <si>
    <t>P(X=1) =</t>
  </si>
  <si>
    <t>or P(X=1) =</t>
  </si>
  <si>
    <t>P(X = 2)</t>
  </si>
  <si>
    <t>P(X=2) =</t>
  </si>
  <si>
    <t>or P(X=2) =</t>
  </si>
  <si>
    <r>
      <rPr>
        <sz val="11"/>
        <color rgb="FFFF0000"/>
        <rFont val="Calibri"/>
        <family val="2"/>
        <scheme val="minor"/>
      </rPr>
      <t>P(X &gt; 2)</t>
    </r>
    <r>
      <rPr>
        <sz val="11"/>
        <rFont val="Calibri"/>
        <family val="2"/>
        <scheme val="minor"/>
      </rPr>
      <t xml:space="preserve"> = P(X = 3, 4, 5, 6, ……., infinity) = 1 - P(X </t>
    </r>
    <r>
      <rPr>
        <sz val="11"/>
        <rFont val="Calibri"/>
        <family val="2"/>
      </rPr>
      <t>≤ 2) =</t>
    </r>
    <r>
      <rPr>
        <sz val="11"/>
        <color rgb="FFFF0000"/>
        <rFont val="Calibri"/>
        <family val="2"/>
      </rPr>
      <t xml:space="preserve"> 1 - [P(X = 0) + P(X = 1) + P(X = 2)]</t>
    </r>
  </si>
  <si>
    <t>or P(X &gt; 2) =</t>
  </si>
  <si>
    <t>The value is very low and Karen should be very surprised.</t>
  </si>
  <si>
    <t>Probability of no bookings occurs when X &gt; 3 hours</t>
  </si>
  <si>
    <t>P(X &gt; 3)</t>
  </si>
  <si>
    <t>P(X &gt; 3) =</t>
  </si>
  <si>
    <t>Probability that X &gt; 3 before a booking is 0.0045, which is 0.45%.</t>
  </si>
  <si>
    <t>Standard deviation = sqrt(Variance) =</t>
  </si>
  <si>
    <t>P(X &gt; 30)</t>
  </si>
  <si>
    <t>Exponential</t>
  </si>
  <si>
    <t>X in secs =</t>
  </si>
  <si>
    <t>X in minutes =</t>
  </si>
  <si>
    <t>Assuming the number of customers arriving is a Poisson process with mean = 0.45</t>
  </si>
  <si>
    <t>then the time between arrivals, X, is an exponential distribution with mean = 0.45</t>
  </si>
  <si>
    <t>P(X &lt; 23 seconds) = P(X &lt; 23/60 minutes)</t>
  </si>
  <si>
    <r>
      <rPr>
        <sz val="11"/>
        <rFont val="Symbol"/>
        <family val="1"/>
        <charset val="2"/>
      </rPr>
      <t>m</t>
    </r>
    <r>
      <rPr>
        <sz val="11"/>
        <rFont val="Calibri"/>
        <family val="2"/>
      </rPr>
      <t xml:space="preserve"> =</t>
    </r>
  </si>
  <si>
    <r>
      <rPr>
        <sz val="11"/>
        <rFont val="Symbol"/>
        <family val="1"/>
        <charset val="2"/>
      </rPr>
      <t>s</t>
    </r>
    <r>
      <rPr>
        <sz val="11"/>
        <rFont val="Calibri"/>
        <family val="2"/>
      </rPr>
      <t xml:space="preserve"> =</t>
    </r>
  </si>
  <si>
    <t>Probability process out of control is 0.0455 or 4.55%.</t>
  </si>
  <si>
    <t>(c) Process in control - binomial process with n = 16, p = 0.0455….. and X = 1</t>
  </si>
  <si>
    <t>(b) Process in control - binomial process with n = 16, p = 0.0455….. and X = 0</t>
  </si>
  <si>
    <t>Process out of control if X &lt; 37.6 or &gt; 38.4</t>
  </si>
  <si>
    <t>(a) Process in control, then X ~ N (38, 0.2), calculate P(out of control) = P(X &lt; 37.6 or &gt; 38.4)</t>
  </si>
  <si>
    <t>P(X &lt; 37.6 or &gt; 38.4) = P(X &lt; 37.6) + P(X &gt; 38.4)</t>
  </si>
  <si>
    <t>P(X &lt; 37.6)</t>
  </si>
  <si>
    <t>P(X &lt; 37.6) =</t>
  </si>
  <si>
    <t>P(X &gt; 38.4)</t>
  </si>
  <si>
    <t>P(X &gt; 38.4) =</t>
  </si>
  <si>
    <t>P(X &lt; 37.6 or &gt; 38.4) =</t>
  </si>
  <si>
    <t>Probability process out of control is 0.9097 or 90.97%.</t>
  </si>
  <si>
    <t>(d) If the process shifts such that population mean = 37 and sd = 0.45 then calculate the probability process out of control</t>
  </si>
  <si>
    <t>(d) P(93 &lt;= X &lt;=99) =</t>
  </si>
  <si>
    <t>(c) P(105 &lt;= X &lt;=115) =</t>
  </si>
  <si>
    <t>(b) P(95 &lt;= X &lt;= 105) =</t>
  </si>
  <si>
    <t>(a) P(X &lt; = 95) =</t>
  </si>
  <si>
    <t>sigma =</t>
  </si>
  <si>
    <t>mu =</t>
  </si>
  <si>
    <t>X is normal with population mean = 100 and variance = 25</t>
  </si>
  <si>
    <t>(d) P(93 &lt;= X &lt;=99) = P(-1.4 &lt;= Z &lt;= - 0.2) =</t>
  </si>
  <si>
    <t>(c) P(105 &lt;= X &lt;=115) = P(1 &lt;= Z &lt;= 3) =</t>
  </si>
  <si>
    <t>(b) P(95 &lt;= X &lt;= 105) = P(-1 &lt;= Z &lt;= 1) =</t>
  </si>
  <si>
    <t>(a) P(X &lt; = 95) = P(Z &lt; = -1) =</t>
  </si>
  <si>
    <r>
      <t>s</t>
    </r>
    <r>
      <rPr>
        <vertAlign val="superscript"/>
        <sz val="11"/>
        <rFont val="Symbol"/>
        <family val="1"/>
        <charset val="2"/>
      </rPr>
      <t>2</t>
    </r>
    <r>
      <rPr>
        <sz val="11"/>
        <rFont val="Symbol"/>
        <family val="1"/>
        <charset val="2"/>
      </rPr>
      <t xml:space="preserve"> =</t>
    </r>
  </si>
  <si>
    <t>m =</t>
  </si>
  <si>
    <t>(d) P(X =&gt; 5) =</t>
  </si>
  <si>
    <t>(c) P(X &lt;=5) =</t>
  </si>
  <si>
    <t>X is normal with population mean = 10 and variance = 25</t>
  </si>
  <si>
    <t>=NORM.DIST(1080,D5,D6,TRUE)</t>
  </si>
  <si>
    <t>P(X &lt;=1080) =</t>
  </si>
  <si>
    <t>Guarantee for X &lt;= 1080 days</t>
  </si>
  <si>
    <t xml:space="preserve">Lifetime of car batteries normally distributed </t>
  </si>
  <si>
    <t>SD =</t>
  </si>
  <si>
    <t>Half probability region P =</t>
  </si>
  <si>
    <t>P(reject) =</t>
  </si>
  <si>
    <t>Xupper =</t>
  </si>
  <si>
    <t>Xlower =</t>
  </si>
  <si>
    <t>(b) Proportion rejected if mean adjusted to minimise proportion rejected</t>
  </si>
  <si>
    <t>(a) Proportion rejected?</t>
  </si>
  <si>
    <t>Electrical resistors X normally distributed</t>
  </si>
  <si>
    <t>P(F ³ 2.34) =</t>
  </si>
  <si>
    <r>
      <t>df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</t>
    </r>
  </si>
  <si>
    <r>
      <t>df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</t>
    </r>
  </si>
  <si>
    <t>X3.17</t>
  </si>
  <si>
    <t>X3.18</t>
  </si>
  <si>
    <t>X3.19</t>
  </si>
  <si>
    <t>X3.20</t>
  </si>
  <si>
    <t>X3.21</t>
  </si>
  <si>
    <t>X3.27</t>
  </si>
  <si>
    <t>X3.24</t>
  </si>
  <si>
    <t>X3.26</t>
  </si>
  <si>
    <t>X3.22</t>
  </si>
  <si>
    <t>X3.23</t>
  </si>
  <si>
    <t xml:space="preserve">P(t &lt;= - 1.45) = </t>
  </si>
  <si>
    <t>P(t &lt;= 0) =</t>
  </si>
  <si>
    <t>t1 =</t>
  </si>
  <si>
    <t>t2 =</t>
  </si>
  <si>
    <t>P(0.3 &lt;=  t &lt;= 1.4) =</t>
  </si>
  <si>
    <t>P(-1.34 &lt;=  t &lt;= 1.8) =</t>
  </si>
  <si>
    <t>P(t =&gt; 2.05) =</t>
  </si>
  <si>
    <t>X3.1</t>
  </si>
  <si>
    <t>X3.2</t>
  </si>
  <si>
    <t>X3.3</t>
  </si>
  <si>
    <t>X3.4</t>
  </si>
  <si>
    <t>X3.5</t>
  </si>
  <si>
    <t>ID</t>
  </si>
  <si>
    <t>Value</t>
  </si>
  <si>
    <t>SPSS solutions</t>
  </si>
  <si>
    <t>X3.6</t>
  </si>
  <si>
    <t>Decisions</t>
  </si>
  <si>
    <t>Sig = 0.29 &gt; 0.05, insufficient evidence to reject null hypothesis</t>
  </si>
  <si>
    <t>Shapiro-Wilks test suggests sample data from a normal distribution</t>
  </si>
  <si>
    <t>SPSS results suggest data from a normal distribution</t>
  </si>
  <si>
    <t>X3.7</t>
  </si>
  <si>
    <t>X3.8</t>
  </si>
  <si>
    <t>X3.9</t>
  </si>
  <si>
    <t>X3.10</t>
  </si>
  <si>
    <t>X3.11</t>
  </si>
  <si>
    <t>X3.12</t>
  </si>
  <si>
    <t xml:space="preserve">(a) Set of 52 playing cards, </t>
  </si>
  <si>
    <t>(b) gender of males and females,</t>
  </si>
  <si>
    <t>(c) sample space consists of 9 sample points (*) is as follows:</t>
  </si>
  <si>
    <r>
      <t>1</t>
    </r>
    <r>
      <rPr>
        <vertAlign val="superscript"/>
        <sz val="11"/>
        <rFont val="Calibri"/>
        <family val="2"/>
        <scheme val="minor"/>
      </rPr>
      <t>st</t>
    </r>
    <r>
      <rPr>
        <sz val="11"/>
        <rFont val="Calibri"/>
        <family val="2"/>
        <scheme val="minor"/>
      </rPr>
      <t xml:space="preserve"> Game</t>
    </r>
  </si>
  <si>
    <t>Win</t>
  </si>
  <si>
    <t>Draw</t>
  </si>
  <si>
    <t>Lose</t>
  </si>
  <si>
    <r>
      <t>2</t>
    </r>
    <r>
      <rPr>
        <vertAlign val="superscript"/>
        <sz val="11"/>
        <rFont val="Calibri"/>
        <family val="2"/>
        <scheme val="minor"/>
      </rPr>
      <t>nd</t>
    </r>
    <r>
      <rPr>
        <sz val="11"/>
        <rFont val="Calibri"/>
        <family val="2"/>
        <scheme val="minor"/>
      </rPr>
      <t xml:space="preserve"> Game</t>
    </r>
  </si>
  <si>
    <t>*</t>
  </si>
  <si>
    <t>Table 3.18</t>
  </si>
  <si>
    <t>(a) 4, (b) 5, (c) 5</t>
  </si>
  <si>
    <t>(a) 4/25, (b) 7/10, (c) 43/50, (d) 5/8, (e)7/100.</t>
  </si>
  <si>
    <t>X3.13</t>
  </si>
  <si>
    <t>X3.14</t>
  </si>
  <si>
    <t>X3.15</t>
  </si>
  <si>
    <t>X3.16</t>
  </si>
  <si>
    <t>P(X &gt; 4) =</t>
  </si>
  <si>
    <t>Not an issue given 0.0028 ... &lt; 0.02, but needs to be carefully monitored.</t>
  </si>
  <si>
    <t>P(X &lt; 23 seconds) =</t>
  </si>
  <si>
    <t>or P(X &lt; 23 seconds) =</t>
  </si>
  <si>
    <t>(a) P(X  = &gt; 15) =</t>
  </si>
  <si>
    <t>(b) P(X &lt;= 15) =</t>
  </si>
  <si>
    <t>(e) P(5 &lt;= X &lt;= 15) =</t>
  </si>
  <si>
    <t>P(X &lt;=47.9 or X =&gt; 48.2) =</t>
  </si>
  <si>
    <t>Minimum occurs when mean midway between 47.9 and 48.2</t>
  </si>
  <si>
    <t>(c) Reduce standard deviation (mu=48.1) so that proportion of rejects below 47.8 is halved</t>
  </si>
  <si>
    <t>Solve for SD within equation P(Z &lt; (47.9-58.2)/SD)=0.210944001</t>
  </si>
  <si>
    <t>Solve equation for SD     (47.9-48.2)/SD = - 0.803150069</t>
  </si>
  <si>
    <t>Adjust standard deviation to 0.249 KHz</t>
  </si>
  <si>
    <r>
      <rPr>
        <sz val="11"/>
        <color rgb="FFFF0000"/>
        <rFont val="Calibri"/>
        <family val="2"/>
        <scheme val="minor"/>
      </rPr>
      <t>Skewness</t>
    </r>
    <r>
      <rPr>
        <sz val="11"/>
        <rFont val="Calibri"/>
        <family val="2"/>
        <scheme val="minor"/>
      </rPr>
      <t xml:space="preserve"> - approximately zero, therefor sample data symmetrically distributed</t>
    </r>
  </si>
  <si>
    <r>
      <t xml:space="preserve">Given sample size small (n&lt;50) use </t>
    </r>
    <r>
      <rPr>
        <sz val="11"/>
        <color rgb="FFFF0000"/>
        <rFont val="Calibri"/>
        <family val="2"/>
        <scheme val="minor"/>
      </rPr>
      <t>Shapiro-Wilks</t>
    </r>
    <r>
      <rPr>
        <sz val="11"/>
        <rFont val="Calibri"/>
        <family val="2"/>
        <scheme val="minor"/>
      </rPr>
      <t xml:space="preserve"> test</t>
    </r>
  </si>
  <si>
    <r>
      <rPr>
        <sz val="11"/>
        <color rgb="FFFF0000"/>
        <rFont val="Calibri"/>
        <family val="2"/>
        <scheme val="minor"/>
      </rPr>
      <t>Normal Q-Q plot</t>
    </r>
    <r>
      <rPr>
        <sz val="11"/>
        <rFont val="Calibri"/>
        <family val="2"/>
        <scheme val="minor"/>
      </rPr>
      <t xml:space="preserve"> fairly linear - suggests data from a normal distribution</t>
    </r>
  </si>
  <si>
    <t>Population profit µ =</t>
  </si>
  <si>
    <t>Population standard deviation σ =</t>
  </si>
  <si>
    <t>Average arrival time per minute, l =</t>
  </si>
  <si>
    <t>TU3.1</t>
  </si>
  <si>
    <t>TU3.2</t>
  </si>
  <si>
    <t>TU3.3</t>
  </si>
  <si>
    <t>TU3.4</t>
  </si>
  <si>
    <t>TU3.5</t>
  </si>
  <si>
    <t>TU3.6</t>
  </si>
  <si>
    <t>TU3.7</t>
  </si>
  <si>
    <t>TU3.8</t>
  </si>
  <si>
    <t>TU3.9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</si>
</sst>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3">
    <font>
      <sz val="10"/>
      <name val="Arial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name val="Calibri"/>
      <family val="2"/>
    </font>
    <font>
      <sz val="11"/>
      <name val="Symbol"/>
      <family val="1"/>
      <charset val="2"/>
    </font>
    <font>
      <sz val="11"/>
      <color rgb="FFFF0000"/>
      <name val="Calibri"/>
      <family val="2"/>
      <scheme val="minor"/>
    </font>
    <font>
      <sz val="11"/>
      <name val="Calibri"/>
      <family val="1"/>
      <charset val="2"/>
    </font>
    <font>
      <sz val="11"/>
      <color rgb="FFFF0000"/>
      <name val="Calibri"/>
      <family val="2"/>
    </font>
    <font>
      <vertAlign val="superscript"/>
      <sz val="11"/>
      <name val="Symbol"/>
      <family val="1"/>
      <charset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BF8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3" fillId="0" borderId="0" xfId="0" applyFont="1"/>
    <xf numFmtId="0" fontId="3" fillId="0" borderId="0" xfId="0" quotePrefix="1" applyFont="1"/>
    <xf numFmtId="0" fontId="3" fillId="0" borderId="0" xfId="0" applyFont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1" xfId="1" applyFont="1" applyBorder="1" applyAlignment="1">
      <alignment horizontal="center"/>
    </xf>
    <xf numFmtId="0" fontId="3" fillId="0" borderId="0" xfId="1" quotePrefix="1" applyFont="1"/>
    <xf numFmtId="0" fontId="3" fillId="0" borderId="0" xfId="1" applyFont="1" applyAlignment="1">
      <alignment horizontal="left"/>
    </xf>
    <xf numFmtId="0" fontId="3" fillId="3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1" applyFont="1" applyBorder="1"/>
    <xf numFmtId="0" fontId="3" fillId="0" borderId="1" xfId="1" applyFont="1" applyBorder="1" applyAlignment="1">
      <alignment horizontal="right"/>
    </xf>
    <xf numFmtId="0" fontId="3" fillId="3" borderId="0" xfId="0" applyFont="1" applyFill="1"/>
    <xf numFmtId="0" fontId="9" fillId="0" borderId="0" xfId="0" applyFont="1" applyAlignment="1">
      <alignment horizontal="right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right"/>
    </xf>
    <xf numFmtId="0" fontId="3" fillId="3" borderId="1" xfId="0" applyFont="1" applyFill="1" applyBorder="1"/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3" fillId="3" borderId="0" xfId="0" applyFont="1" applyFill="1" applyAlignment="1">
      <alignment horizontal="right"/>
    </xf>
    <xf numFmtId="0" fontId="9" fillId="5" borderId="1" xfId="0" applyFont="1" applyFill="1" applyBorder="1" applyAlignment="1">
      <alignment horizontal="right"/>
    </xf>
    <xf numFmtId="0" fontId="3" fillId="5" borderId="0" xfId="0" applyFont="1" applyFill="1" applyAlignment="1">
      <alignment horizontal="right"/>
    </xf>
    <xf numFmtId="0" fontId="3" fillId="5" borderId="0" xfId="0" applyFont="1" applyFill="1"/>
    <xf numFmtId="0" fontId="3" fillId="0" borderId="1" xfId="1" quotePrefix="1" applyFont="1" applyBorder="1"/>
    <xf numFmtId="0" fontId="3" fillId="6" borderId="0" xfId="1" applyFont="1" applyFill="1" applyAlignment="1">
      <alignment horizontal="right"/>
    </xf>
    <xf numFmtId="0" fontId="3" fillId="6" borderId="0" xfId="1" applyFont="1" applyFill="1"/>
    <xf numFmtId="0" fontId="3" fillId="0" borderId="0" xfId="1" applyFont="1" applyAlignment="1"/>
    <xf numFmtId="0" fontId="9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3" fillId="6" borderId="1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0" xfId="0" quotePrefix="1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1" applyFont="1" applyFill="1"/>
    <xf numFmtId="0" fontId="3" fillId="6" borderId="0" xfId="0" applyFont="1" applyFill="1" applyAlignment="1">
      <alignment horizontal="right"/>
    </xf>
    <xf numFmtId="0" fontId="3" fillId="6" borderId="0" xfId="0" applyFont="1" applyFill="1"/>
    <xf numFmtId="0" fontId="3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quotePrefix="1" applyFont="1" applyFill="1"/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164" fontId="3" fillId="0" borderId="0" xfId="0" applyNumberFormat="1" applyFont="1"/>
    <xf numFmtId="0" fontId="3" fillId="0" borderId="1" xfId="0" quotePrefix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64" fontId="3" fillId="0" borderId="0" xfId="0" quotePrefix="1" applyNumberFormat="1" applyFont="1"/>
    <xf numFmtId="0" fontId="3" fillId="0" borderId="0" xfId="0" applyFont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textRotation="90" wrapText="1"/>
    </xf>
    <xf numFmtId="0" fontId="3" fillId="2" borderId="14" xfId="0" applyFont="1" applyFill="1" applyBorder="1" applyAlignment="1">
      <alignment horizontal="center" vertical="center" textRotation="90" wrapText="1"/>
    </xf>
    <xf numFmtId="0" fontId="3" fillId="2" borderId="15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495145631067961"/>
          <c:y val="3.571428571428571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9126213592233011E-2"/>
          <c:y val="0.15584415584415584"/>
          <c:w val="0.94368932038834952"/>
          <c:h val="0.72727272727272729"/>
        </c:manualLayout>
      </c:layout>
      <c:scatterChart>
        <c:scatterStyle val="smoothMarker"/>
        <c:varyColors val="0"/>
        <c:ser>
          <c:idx val="0"/>
          <c:order val="0"/>
          <c:tx>
            <c:v>Normal curve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100"/>
              <c:pt idx="0">
                <c:v>-3</c:v>
              </c:pt>
              <c:pt idx="1">
                <c:v>-2.9393939393939394</c:v>
              </c:pt>
              <c:pt idx="2">
                <c:v>-2.8787878787878789</c:v>
              </c:pt>
              <c:pt idx="3">
                <c:v>-2.8181818181818183</c:v>
              </c:pt>
              <c:pt idx="4">
                <c:v>-2.7575757575757578</c:v>
              </c:pt>
              <c:pt idx="5">
                <c:v>-2.6969696969696972</c:v>
              </c:pt>
              <c:pt idx="6">
                <c:v>-2.6363636363636367</c:v>
              </c:pt>
              <c:pt idx="7">
                <c:v>-2.5757575757575761</c:v>
              </c:pt>
              <c:pt idx="8">
                <c:v>-2.5151515151515156</c:v>
              </c:pt>
              <c:pt idx="9">
                <c:v>-2.454545454545455</c:v>
              </c:pt>
              <c:pt idx="10">
                <c:v>-2.3939393939393945</c:v>
              </c:pt>
              <c:pt idx="11">
                <c:v>-2.3333333333333339</c:v>
              </c:pt>
              <c:pt idx="12">
                <c:v>-2.2727272727272734</c:v>
              </c:pt>
              <c:pt idx="13">
                <c:v>-2.2121212121212128</c:v>
              </c:pt>
              <c:pt idx="14">
                <c:v>-2.1515151515151523</c:v>
              </c:pt>
              <c:pt idx="15">
                <c:v>-2.0909090909090917</c:v>
              </c:pt>
              <c:pt idx="16">
                <c:v>-2.0303030303030312</c:v>
              </c:pt>
              <c:pt idx="17">
                <c:v>-1.9696969696969706</c:v>
              </c:pt>
              <c:pt idx="18">
                <c:v>-1.9090909090909101</c:v>
              </c:pt>
              <c:pt idx="19">
                <c:v>-1.8484848484848495</c:v>
              </c:pt>
              <c:pt idx="20">
                <c:v>-1.787878787878789</c:v>
              </c:pt>
              <c:pt idx="21">
                <c:v>-1.7272727272727284</c:v>
              </c:pt>
              <c:pt idx="22">
                <c:v>-1.6666666666666679</c:v>
              </c:pt>
              <c:pt idx="23">
                <c:v>-1.6060606060606073</c:v>
              </c:pt>
              <c:pt idx="24">
                <c:v>-1.5454545454545467</c:v>
              </c:pt>
              <c:pt idx="25">
                <c:v>-1.4848484848484862</c:v>
              </c:pt>
              <c:pt idx="26">
                <c:v>-1.4242424242424256</c:v>
              </c:pt>
              <c:pt idx="27">
                <c:v>-1.3636363636363651</c:v>
              </c:pt>
              <c:pt idx="28">
                <c:v>-1.3030303030303045</c:v>
              </c:pt>
              <c:pt idx="29">
                <c:v>-1.242424242424244</c:v>
              </c:pt>
              <c:pt idx="30">
                <c:v>-1.1818181818181834</c:v>
              </c:pt>
              <c:pt idx="31">
                <c:v>-1.1212121212121229</c:v>
              </c:pt>
              <c:pt idx="32">
                <c:v>-1.0606060606060623</c:v>
              </c:pt>
              <c:pt idx="33">
                <c:v>-1.0000000000000018</c:v>
              </c:pt>
              <c:pt idx="34">
                <c:v>-0.93939393939394122</c:v>
              </c:pt>
              <c:pt idx="35">
                <c:v>-0.87878787878788067</c:v>
              </c:pt>
              <c:pt idx="36">
                <c:v>-0.81818181818182012</c:v>
              </c:pt>
              <c:pt idx="37">
                <c:v>-0.75757575757575957</c:v>
              </c:pt>
              <c:pt idx="38">
                <c:v>-0.69696969696969902</c:v>
              </c:pt>
              <c:pt idx="39">
                <c:v>-0.63636363636363846</c:v>
              </c:pt>
              <c:pt idx="40">
                <c:v>-0.57575757575757791</c:v>
              </c:pt>
              <c:pt idx="41">
                <c:v>-0.51515151515151736</c:v>
              </c:pt>
              <c:pt idx="42">
                <c:v>-0.45454545454545675</c:v>
              </c:pt>
              <c:pt idx="43">
                <c:v>-0.39393939393939614</c:v>
              </c:pt>
              <c:pt idx="44">
                <c:v>-0.33333333333333554</c:v>
              </c:pt>
              <c:pt idx="45">
                <c:v>-0.27272727272727493</c:v>
              </c:pt>
              <c:pt idx="46">
                <c:v>-0.21212121212121432</c:v>
              </c:pt>
              <c:pt idx="47">
                <c:v>-0.15151515151515371</c:v>
              </c:pt>
              <c:pt idx="48">
                <c:v>-9.0909090909093104E-2</c:v>
              </c:pt>
              <c:pt idx="49">
                <c:v>-3.0303030303032497E-2</c:v>
              </c:pt>
              <c:pt idx="50">
                <c:v>3.0303030303028111E-2</c:v>
              </c:pt>
              <c:pt idx="51">
                <c:v>9.0909090909088719E-2</c:v>
              </c:pt>
              <c:pt idx="52">
                <c:v>0.15151515151514933</c:v>
              </c:pt>
              <c:pt idx="53">
                <c:v>0.21212121212120993</c:v>
              </c:pt>
              <c:pt idx="54">
                <c:v>0.27272727272727054</c:v>
              </c:pt>
              <c:pt idx="55">
                <c:v>0.33333333333333115</c:v>
              </c:pt>
              <c:pt idx="56">
                <c:v>0.39393939393939176</c:v>
              </c:pt>
              <c:pt idx="57">
                <c:v>0.45454545454545237</c:v>
              </c:pt>
              <c:pt idx="58">
                <c:v>0.51515151515151292</c:v>
              </c:pt>
              <c:pt idx="59">
                <c:v>0.57575757575757347</c:v>
              </c:pt>
              <c:pt idx="60">
                <c:v>0.63636363636363402</c:v>
              </c:pt>
              <c:pt idx="61">
                <c:v>0.69696969696969457</c:v>
              </c:pt>
              <c:pt idx="62">
                <c:v>0.75757575757575513</c:v>
              </c:pt>
              <c:pt idx="63">
                <c:v>0.81818181818181568</c:v>
              </c:pt>
              <c:pt idx="64">
                <c:v>0.87878787878787623</c:v>
              </c:pt>
              <c:pt idx="65">
                <c:v>0.93939393939393678</c:v>
              </c:pt>
              <c:pt idx="66">
                <c:v>0.99999999999999734</c:v>
              </c:pt>
              <c:pt idx="67">
                <c:v>1.0606060606060579</c:v>
              </c:pt>
              <c:pt idx="68">
                <c:v>1.1212121212121184</c:v>
              </c:pt>
              <c:pt idx="69">
                <c:v>1.181818181818179</c:v>
              </c:pt>
              <c:pt idx="70">
                <c:v>1.2424242424242395</c:v>
              </c:pt>
              <c:pt idx="71">
                <c:v>1.3030303030303001</c:v>
              </c:pt>
              <c:pt idx="72">
                <c:v>1.3636363636363606</c:v>
              </c:pt>
              <c:pt idx="73">
                <c:v>1.4242424242424212</c:v>
              </c:pt>
              <c:pt idx="74">
                <c:v>1.4848484848484818</c:v>
              </c:pt>
              <c:pt idx="75">
                <c:v>1.5454545454545423</c:v>
              </c:pt>
              <c:pt idx="76">
                <c:v>1.6060606060606029</c:v>
              </c:pt>
              <c:pt idx="77">
                <c:v>1.6666666666666634</c:v>
              </c:pt>
              <c:pt idx="78">
                <c:v>1.727272727272724</c:v>
              </c:pt>
              <c:pt idx="79">
                <c:v>1.7878787878787845</c:v>
              </c:pt>
              <c:pt idx="80">
                <c:v>1.8484848484848451</c:v>
              </c:pt>
              <c:pt idx="81">
                <c:v>1.9090909090909056</c:v>
              </c:pt>
              <c:pt idx="82">
                <c:v>1.9696969696969662</c:v>
              </c:pt>
              <c:pt idx="83">
                <c:v>2.0303030303030267</c:v>
              </c:pt>
              <c:pt idx="84">
                <c:v>2.0909090909090873</c:v>
              </c:pt>
              <c:pt idx="85">
                <c:v>2.1515151515151478</c:v>
              </c:pt>
              <c:pt idx="86">
                <c:v>2.2121212121212084</c:v>
              </c:pt>
              <c:pt idx="87">
                <c:v>2.2727272727272689</c:v>
              </c:pt>
              <c:pt idx="88">
                <c:v>2.3333333333333295</c:v>
              </c:pt>
              <c:pt idx="89">
                <c:v>2.39393939393939</c:v>
              </c:pt>
              <c:pt idx="90">
                <c:v>2.4545454545454506</c:v>
              </c:pt>
              <c:pt idx="91">
                <c:v>2.5151515151515111</c:v>
              </c:pt>
              <c:pt idx="92">
                <c:v>2.5757575757575717</c:v>
              </c:pt>
              <c:pt idx="93">
                <c:v>2.6363636363636322</c:v>
              </c:pt>
              <c:pt idx="94">
                <c:v>2.6969696969696928</c:v>
              </c:pt>
              <c:pt idx="95">
                <c:v>2.7575757575757534</c:v>
              </c:pt>
              <c:pt idx="96">
                <c:v>2.8181818181818139</c:v>
              </c:pt>
              <c:pt idx="97">
                <c:v>2.8787878787878745</c:v>
              </c:pt>
              <c:pt idx="98">
                <c:v>2.939393939393935</c:v>
              </c:pt>
              <c:pt idx="99">
                <c:v>2.9999999999999956</c:v>
              </c:pt>
            </c:numLit>
          </c:xVal>
          <c:yVal>
            <c:numLit>
              <c:formatCode>General</c:formatCode>
              <c:ptCount val="100"/>
              <c:pt idx="0">
                <c:v>8.8636968238760153E-4</c:v>
              </c:pt>
              <c:pt idx="1">
                <c:v>1.0611576850575214E-3</c:v>
              </c:pt>
              <c:pt idx="2">
                <c:v>1.2657552857165523E-3</c:v>
              </c:pt>
              <c:pt idx="3">
                <c:v>1.504265069741864E-3</c:v>
              </c:pt>
              <c:pt idx="4">
                <c:v>1.781163502683207E-3</c:v>
              </c:pt>
              <c:pt idx="5">
                <c:v>2.10129970443004E-3</c:v>
              </c:pt>
              <c:pt idx="6">
                <c:v>2.4698865583042211E-3</c:v>
              </c:pt>
              <c:pt idx="7">
                <c:v>2.8924829595268356E-3</c:v>
              </c:pt>
              <c:pt idx="8">
                <c:v>3.3749660373244461E-3</c:v>
              </c:pt>
              <c:pt idx="9">
                <c:v>3.923492257149476E-3</c:v>
              </c:pt>
              <c:pt idx="10">
                <c:v>4.5444464290190804E-3</c:v>
              </c:pt>
              <c:pt idx="11">
                <c:v>5.2443778187418926E-3</c:v>
              </c:pt>
              <c:pt idx="12">
                <c:v>6.0299227833601225E-3</c:v>
              </c:pt>
              <c:pt idx="13">
                <c:v>6.9077136313460998E-3</c:v>
              </c:pt>
              <c:pt idx="14">
                <c:v>7.8842737408056449E-3</c:v>
              </c:pt>
              <c:pt idx="15">
                <c:v>8.9658993517185322E-3</c:v>
              </c:pt>
              <c:pt idx="16">
                <c:v>1.0158528875160791E-2</c:v>
              </c:pt>
              <c:pt idx="17">
                <c:v>1.1467601024962564E-2</c:v>
              </c:pt>
              <c:pt idx="18">
                <c:v>1.2897903564186535E-2</c:v>
              </c:pt>
              <c:pt idx="19">
                <c:v>1.4453414956466518E-2</c:v>
              </c:pt>
              <c:pt idx="20">
                <c:v>1.61371417046327E-2</c:v>
              </c:pt>
              <c:pt idx="21">
                <c:v>1.795095462826482E-2</c:v>
              </c:pt>
              <c:pt idx="22">
                <c:v>1.9895427758549699E-2</c:v>
              </c:pt>
              <c:pt idx="23">
                <c:v>2.1969683893013979E-2</c:v>
              </c:pt>
              <c:pt idx="24">
                <c:v>2.4171251134299736E-2</c:v>
              </c:pt>
              <c:pt idx="25">
                <c:v>2.6495934916950733E-2</c:v>
              </c:pt>
              <c:pt idx="26">
                <c:v>2.8937710086750456E-2</c:v>
              </c:pt>
              <c:pt idx="27">
                <c:v>3.1488637523768674E-2</c:v>
              </c:pt>
              <c:pt idx="28">
                <c:v>3.4138809581809544E-2</c:v>
              </c:pt>
              <c:pt idx="29">
                <c:v>3.6876328246732225E-2</c:v>
              </c:pt>
              <c:pt idx="30">
                <c:v>3.9687319392616972E-2</c:v>
              </c:pt>
              <c:pt idx="31">
                <c:v>4.255598584216376E-2</c:v>
              </c:pt>
              <c:pt idx="32">
                <c:v>4.5464701126272107E-2</c:v>
              </c:pt>
              <c:pt idx="33">
                <c:v>4.8394144903828581E-2</c:v>
              </c:pt>
              <c:pt idx="34">
                <c:v>5.1323479968648736E-2</c:v>
              </c:pt>
              <c:pt idx="35">
                <c:v>5.4230569664095535E-2</c:v>
              </c:pt>
              <c:pt idx="36">
                <c:v>5.7092233379680918E-2</c:v>
              </c:pt>
              <c:pt idx="37">
                <c:v>5.9884536654219868E-2</c:v>
              </c:pt>
              <c:pt idx="38">
                <c:v>6.2583111295583846E-2</c:v>
              </c:pt>
              <c:pt idx="39">
                <c:v>6.5163499887537918E-2</c:v>
              </c:pt>
              <c:pt idx="40">
                <c:v>6.7601518128723156E-2</c:v>
              </c:pt>
              <c:pt idx="41">
                <c:v>6.9873627674530814E-2</c:v>
              </c:pt>
              <c:pt idx="42">
                <c:v>7.1957311562524592E-2</c:v>
              </c:pt>
              <c:pt idx="43">
                <c:v>7.3831443923939435E-2</c:v>
              </c:pt>
              <c:pt idx="44">
                <c:v>7.5476645538598577E-2</c:v>
              </c:pt>
              <c:pt idx="45">
                <c:v>7.687561689145174E-2</c:v>
              </c:pt>
              <c:pt idx="46">
                <c:v>7.8013440740257317E-2</c:v>
              </c:pt>
              <c:pt idx="47">
                <c:v>7.8877846800983739E-2</c:v>
              </c:pt>
              <c:pt idx="48">
                <c:v>7.9459431986348347E-2</c:v>
              </c:pt>
              <c:pt idx="49">
                <c:v>7.9751830670748342E-2</c:v>
              </c:pt>
              <c:pt idx="50">
                <c:v>7.9751830670748355E-2</c:v>
              </c:pt>
              <c:pt idx="51">
                <c:v>7.9459431986348361E-2</c:v>
              </c:pt>
              <c:pt idx="52">
                <c:v>7.8877846800983795E-2</c:v>
              </c:pt>
              <c:pt idx="53">
                <c:v>7.8013440740257387E-2</c:v>
              </c:pt>
              <c:pt idx="54">
                <c:v>7.6875616891451837E-2</c:v>
              </c:pt>
              <c:pt idx="55">
                <c:v>7.5476645538598688E-2</c:v>
              </c:pt>
              <c:pt idx="56">
                <c:v>7.3831443923939546E-2</c:v>
              </c:pt>
              <c:pt idx="57">
                <c:v>7.1957311562524731E-2</c:v>
              </c:pt>
              <c:pt idx="58">
                <c:v>6.987362767453098E-2</c:v>
              </c:pt>
              <c:pt idx="59">
                <c:v>6.7601518128723309E-2</c:v>
              </c:pt>
              <c:pt idx="60">
                <c:v>6.5163499887538126E-2</c:v>
              </c:pt>
              <c:pt idx="61">
                <c:v>6.258311129558404E-2</c:v>
              </c:pt>
              <c:pt idx="62">
                <c:v>5.9884536654220062E-2</c:v>
              </c:pt>
              <c:pt idx="63">
                <c:v>5.7092233379681105E-2</c:v>
              </c:pt>
              <c:pt idx="64">
                <c:v>5.4230569664095757E-2</c:v>
              </c:pt>
              <c:pt idx="65">
                <c:v>5.1323479968648937E-2</c:v>
              </c:pt>
              <c:pt idx="66">
                <c:v>4.8394144903828817E-2</c:v>
              </c:pt>
              <c:pt idx="67">
                <c:v>4.5464701126272301E-2</c:v>
              </c:pt>
              <c:pt idx="68">
                <c:v>4.2555985842163982E-2</c:v>
              </c:pt>
              <c:pt idx="69">
                <c:v>3.9687319392617167E-2</c:v>
              </c:pt>
              <c:pt idx="70">
                <c:v>3.687632824673244E-2</c:v>
              </c:pt>
              <c:pt idx="71">
                <c:v>3.4138809581809731E-2</c:v>
              </c:pt>
              <c:pt idx="72">
                <c:v>3.1488637523768875E-2</c:v>
              </c:pt>
              <c:pt idx="73">
                <c:v>2.8937710086750629E-2</c:v>
              </c:pt>
              <c:pt idx="74">
                <c:v>2.649593491695091E-2</c:v>
              </c:pt>
              <c:pt idx="75">
                <c:v>2.4171251134299892E-2</c:v>
              </c:pt>
              <c:pt idx="76">
                <c:v>2.1969683893014146E-2</c:v>
              </c:pt>
              <c:pt idx="77">
                <c:v>1.9895427758549841E-2</c:v>
              </c:pt>
              <c:pt idx="78">
                <c:v>1.7950954628264966E-2</c:v>
              </c:pt>
              <c:pt idx="79">
                <c:v>1.6137141704632822E-2</c:v>
              </c:pt>
              <c:pt idx="80">
                <c:v>1.4453414956466641E-2</c:v>
              </c:pt>
              <c:pt idx="81">
                <c:v>1.2897903564186641E-2</c:v>
              </c:pt>
              <c:pt idx="82">
                <c:v>1.146760102496267E-2</c:v>
              </c:pt>
              <c:pt idx="83">
                <c:v>1.0158528875160888E-2</c:v>
              </c:pt>
              <c:pt idx="84">
                <c:v>8.965899351718612E-3</c:v>
              </c:pt>
              <c:pt idx="85">
                <c:v>7.8842737408057213E-3</c:v>
              </c:pt>
              <c:pt idx="86">
                <c:v>6.90771363134617E-3</c:v>
              </c:pt>
              <c:pt idx="87">
                <c:v>6.0299227833601841E-3</c:v>
              </c:pt>
              <c:pt idx="88">
                <c:v>5.2443778187419446E-3</c:v>
              </c:pt>
              <c:pt idx="89">
                <c:v>4.544446429019129E-3</c:v>
              </c:pt>
              <c:pt idx="90">
                <c:v>3.9234922571495193E-3</c:v>
              </c:pt>
              <c:pt idx="91">
                <c:v>3.3749660373244834E-3</c:v>
              </c:pt>
              <c:pt idx="92">
                <c:v>2.8924829595268651E-3</c:v>
              </c:pt>
              <c:pt idx="93">
                <c:v>2.4698865583042528E-3</c:v>
              </c:pt>
              <c:pt idx="94">
                <c:v>2.1012997044300647E-3</c:v>
              </c:pt>
              <c:pt idx="95">
                <c:v>1.7811635026832291E-3</c:v>
              </c:pt>
              <c:pt idx="96">
                <c:v>1.5042650697418868E-3</c:v>
              </c:pt>
              <c:pt idx="97">
                <c:v>1.2657552857165658E-3</c:v>
              </c:pt>
              <c:pt idx="98">
                <c:v>1.0611576850575346E-3</c:v>
              </c:pt>
              <c:pt idx="99">
                <c:v>8.8636968238761334E-4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10C3-4A4C-BB8D-66F26E2F8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437512"/>
        <c:axId val="566437904"/>
      </c:scatterChart>
      <c:valAx>
        <c:axId val="566437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X</a:t>
                </a:r>
              </a:p>
            </c:rich>
          </c:tx>
          <c:layout>
            <c:manualLayout>
              <c:xMode val="edge"/>
              <c:yMode val="edge"/>
              <c:x val="0.96116504854368934"/>
              <c:y val="0.896103896103896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6437904"/>
        <c:crosses val="autoZero"/>
        <c:crossBetween val="midCat"/>
      </c:valAx>
      <c:valAx>
        <c:axId val="566437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6437512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410934098353982"/>
          <c:y val="3.55987055016181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9069822458330414E-2"/>
          <c:y val="0.15534029676216363"/>
          <c:w val="0.94380023581379413"/>
          <c:h val="0.72815764107264191"/>
        </c:manualLayout>
      </c:layout>
      <c:scatterChart>
        <c:scatterStyle val="smoothMarker"/>
        <c:varyColors val="0"/>
        <c:ser>
          <c:idx val="0"/>
          <c:order val="0"/>
          <c:tx>
            <c:v>Normal curve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100"/>
              <c:pt idx="0">
                <c:v>-3</c:v>
              </c:pt>
              <c:pt idx="1">
                <c:v>-2.9393939393939394</c:v>
              </c:pt>
              <c:pt idx="2">
                <c:v>-2.8787878787878789</c:v>
              </c:pt>
              <c:pt idx="3">
                <c:v>-2.8181818181818183</c:v>
              </c:pt>
              <c:pt idx="4">
                <c:v>-2.7575757575757578</c:v>
              </c:pt>
              <c:pt idx="5">
                <c:v>-2.6969696969696972</c:v>
              </c:pt>
              <c:pt idx="6">
                <c:v>-2.6363636363636367</c:v>
              </c:pt>
              <c:pt idx="7">
                <c:v>-2.5757575757575761</c:v>
              </c:pt>
              <c:pt idx="8">
                <c:v>-2.5151515151515156</c:v>
              </c:pt>
              <c:pt idx="9">
                <c:v>-2.454545454545455</c:v>
              </c:pt>
              <c:pt idx="10">
                <c:v>-2.3939393939393945</c:v>
              </c:pt>
              <c:pt idx="11">
                <c:v>-2.3333333333333339</c:v>
              </c:pt>
              <c:pt idx="12">
                <c:v>-2.2727272727272734</c:v>
              </c:pt>
              <c:pt idx="13">
                <c:v>-2.2121212121212128</c:v>
              </c:pt>
              <c:pt idx="14">
                <c:v>-2.1515151515151523</c:v>
              </c:pt>
              <c:pt idx="15">
                <c:v>-2.0909090909090917</c:v>
              </c:pt>
              <c:pt idx="16">
                <c:v>-2.0303030303030312</c:v>
              </c:pt>
              <c:pt idx="17">
                <c:v>-1.9696969696969706</c:v>
              </c:pt>
              <c:pt idx="18">
                <c:v>-1.9090909090909101</c:v>
              </c:pt>
              <c:pt idx="19">
                <c:v>-1.8484848484848495</c:v>
              </c:pt>
              <c:pt idx="20">
                <c:v>-1.787878787878789</c:v>
              </c:pt>
              <c:pt idx="21">
                <c:v>-1.7272727272727284</c:v>
              </c:pt>
              <c:pt idx="22">
                <c:v>-1.6666666666666679</c:v>
              </c:pt>
              <c:pt idx="23">
                <c:v>-1.6060606060606073</c:v>
              </c:pt>
              <c:pt idx="24">
                <c:v>-1.5454545454545467</c:v>
              </c:pt>
              <c:pt idx="25">
                <c:v>-1.4848484848484862</c:v>
              </c:pt>
              <c:pt idx="26">
                <c:v>-1.4242424242424256</c:v>
              </c:pt>
              <c:pt idx="27">
                <c:v>-1.3636363636363651</c:v>
              </c:pt>
              <c:pt idx="28">
                <c:v>-1.3030303030303045</c:v>
              </c:pt>
              <c:pt idx="29">
                <c:v>-1.242424242424244</c:v>
              </c:pt>
              <c:pt idx="30">
                <c:v>-1.1818181818181834</c:v>
              </c:pt>
              <c:pt idx="31">
                <c:v>-1.1212121212121229</c:v>
              </c:pt>
              <c:pt idx="32">
                <c:v>-1.0606060606060623</c:v>
              </c:pt>
              <c:pt idx="33">
                <c:v>-1.0000000000000018</c:v>
              </c:pt>
              <c:pt idx="34">
                <c:v>-0.93939393939394122</c:v>
              </c:pt>
              <c:pt idx="35">
                <c:v>-0.87878787878788067</c:v>
              </c:pt>
              <c:pt idx="36">
                <c:v>-0.81818181818182012</c:v>
              </c:pt>
              <c:pt idx="37">
                <c:v>-0.75757575757575957</c:v>
              </c:pt>
              <c:pt idx="38">
                <c:v>-0.69696969696969902</c:v>
              </c:pt>
              <c:pt idx="39">
                <c:v>-0.63636363636363846</c:v>
              </c:pt>
              <c:pt idx="40">
                <c:v>-0.57575757575757791</c:v>
              </c:pt>
              <c:pt idx="41">
                <c:v>-0.51515151515151736</c:v>
              </c:pt>
              <c:pt idx="42">
                <c:v>-0.45454545454545675</c:v>
              </c:pt>
              <c:pt idx="43">
                <c:v>-0.39393939393939614</c:v>
              </c:pt>
              <c:pt idx="44">
                <c:v>-0.33333333333333554</c:v>
              </c:pt>
              <c:pt idx="45">
                <c:v>-0.27272727272727493</c:v>
              </c:pt>
              <c:pt idx="46">
                <c:v>-0.21212121212121432</c:v>
              </c:pt>
              <c:pt idx="47">
                <c:v>-0.15151515151515371</c:v>
              </c:pt>
              <c:pt idx="48">
                <c:v>-9.0909090909093104E-2</c:v>
              </c:pt>
              <c:pt idx="49">
                <c:v>-3.0303030303032497E-2</c:v>
              </c:pt>
              <c:pt idx="50">
                <c:v>3.0303030303028111E-2</c:v>
              </c:pt>
              <c:pt idx="51">
                <c:v>9.0909090909088719E-2</c:v>
              </c:pt>
              <c:pt idx="52">
                <c:v>0.15151515151514933</c:v>
              </c:pt>
              <c:pt idx="53">
                <c:v>0.21212121212120993</c:v>
              </c:pt>
              <c:pt idx="54">
                <c:v>0.27272727272727054</c:v>
              </c:pt>
              <c:pt idx="55">
                <c:v>0.33333333333333115</c:v>
              </c:pt>
              <c:pt idx="56">
                <c:v>0.39393939393939176</c:v>
              </c:pt>
              <c:pt idx="57">
                <c:v>0.45454545454545237</c:v>
              </c:pt>
              <c:pt idx="58">
                <c:v>0.51515151515151292</c:v>
              </c:pt>
              <c:pt idx="59">
                <c:v>0.57575757575757347</c:v>
              </c:pt>
              <c:pt idx="60">
                <c:v>0.63636363636363402</c:v>
              </c:pt>
              <c:pt idx="61">
                <c:v>0.69696969696969457</c:v>
              </c:pt>
              <c:pt idx="62">
                <c:v>0.75757575757575513</c:v>
              </c:pt>
              <c:pt idx="63">
                <c:v>0.81818181818181568</c:v>
              </c:pt>
              <c:pt idx="64">
                <c:v>0.87878787878787623</c:v>
              </c:pt>
              <c:pt idx="65">
                <c:v>0.93939393939393678</c:v>
              </c:pt>
              <c:pt idx="66">
                <c:v>0.99999999999999734</c:v>
              </c:pt>
              <c:pt idx="67">
                <c:v>1.0606060606060579</c:v>
              </c:pt>
              <c:pt idx="68">
                <c:v>1.1212121212121184</c:v>
              </c:pt>
              <c:pt idx="69">
                <c:v>1.181818181818179</c:v>
              </c:pt>
              <c:pt idx="70">
                <c:v>1.2424242424242395</c:v>
              </c:pt>
              <c:pt idx="71">
                <c:v>1.3030303030303001</c:v>
              </c:pt>
              <c:pt idx="72">
                <c:v>1.3636363636363606</c:v>
              </c:pt>
              <c:pt idx="73">
                <c:v>1.4242424242424212</c:v>
              </c:pt>
              <c:pt idx="74">
                <c:v>1.4848484848484818</c:v>
              </c:pt>
              <c:pt idx="75">
                <c:v>1.5454545454545423</c:v>
              </c:pt>
              <c:pt idx="76">
                <c:v>1.6060606060606029</c:v>
              </c:pt>
              <c:pt idx="77">
                <c:v>1.6666666666666634</c:v>
              </c:pt>
              <c:pt idx="78">
                <c:v>1.727272727272724</c:v>
              </c:pt>
              <c:pt idx="79">
                <c:v>1.7878787878787845</c:v>
              </c:pt>
              <c:pt idx="80">
                <c:v>1.8484848484848451</c:v>
              </c:pt>
              <c:pt idx="81">
                <c:v>1.9090909090909056</c:v>
              </c:pt>
              <c:pt idx="82">
                <c:v>1.9696969696969662</c:v>
              </c:pt>
              <c:pt idx="83">
                <c:v>2.0303030303030267</c:v>
              </c:pt>
              <c:pt idx="84">
                <c:v>2.0909090909090873</c:v>
              </c:pt>
              <c:pt idx="85">
                <c:v>2.1515151515151478</c:v>
              </c:pt>
              <c:pt idx="86">
                <c:v>2.2121212121212084</c:v>
              </c:pt>
              <c:pt idx="87">
                <c:v>2.2727272727272689</c:v>
              </c:pt>
              <c:pt idx="88">
                <c:v>2.3333333333333295</c:v>
              </c:pt>
              <c:pt idx="89">
                <c:v>2.39393939393939</c:v>
              </c:pt>
              <c:pt idx="90">
                <c:v>2.4545454545454506</c:v>
              </c:pt>
              <c:pt idx="91">
                <c:v>2.5151515151515111</c:v>
              </c:pt>
              <c:pt idx="92">
                <c:v>2.5757575757575717</c:v>
              </c:pt>
              <c:pt idx="93">
                <c:v>2.6363636363636322</c:v>
              </c:pt>
              <c:pt idx="94">
                <c:v>2.6969696969696928</c:v>
              </c:pt>
              <c:pt idx="95">
                <c:v>2.7575757575757534</c:v>
              </c:pt>
              <c:pt idx="96">
                <c:v>2.8181818181818139</c:v>
              </c:pt>
              <c:pt idx="97">
                <c:v>2.8787878787878745</c:v>
              </c:pt>
              <c:pt idx="98">
                <c:v>2.939393939393935</c:v>
              </c:pt>
              <c:pt idx="99">
                <c:v>2.9999999999999956</c:v>
              </c:pt>
            </c:numLit>
          </c:xVal>
          <c:yVal>
            <c:numLit>
              <c:formatCode>General</c:formatCode>
              <c:ptCount val="100"/>
              <c:pt idx="0">
                <c:v>8.8636968238760153E-4</c:v>
              </c:pt>
              <c:pt idx="1">
                <c:v>1.0611576850575214E-3</c:v>
              </c:pt>
              <c:pt idx="2">
                <c:v>1.2657552857165523E-3</c:v>
              </c:pt>
              <c:pt idx="3">
                <c:v>1.504265069741864E-3</c:v>
              </c:pt>
              <c:pt idx="4">
                <c:v>1.781163502683207E-3</c:v>
              </c:pt>
              <c:pt idx="5">
                <c:v>2.10129970443004E-3</c:v>
              </c:pt>
              <c:pt idx="6">
                <c:v>2.4698865583042211E-3</c:v>
              </c:pt>
              <c:pt idx="7">
                <c:v>2.8924829595268356E-3</c:v>
              </c:pt>
              <c:pt idx="8">
                <c:v>3.3749660373244461E-3</c:v>
              </c:pt>
              <c:pt idx="9">
                <c:v>3.923492257149476E-3</c:v>
              </c:pt>
              <c:pt idx="10">
                <c:v>4.5444464290190804E-3</c:v>
              </c:pt>
              <c:pt idx="11">
                <c:v>5.2443778187418926E-3</c:v>
              </c:pt>
              <c:pt idx="12">
                <c:v>6.0299227833601225E-3</c:v>
              </c:pt>
              <c:pt idx="13">
                <c:v>6.9077136313460998E-3</c:v>
              </c:pt>
              <c:pt idx="14">
                <c:v>7.8842737408056449E-3</c:v>
              </c:pt>
              <c:pt idx="15">
                <c:v>8.9658993517185322E-3</c:v>
              </c:pt>
              <c:pt idx="16">
                <c:v>1.0158528875160791E-2</c:v>
              </c:pt>
              <c:pt idx="17">
                <c:v>1.1467601024962564E-2</c:v>
              </c:pt>
              <c:pt idx="18">
                <c:v>1.2897903564186535E-2</c:v>
              </c:pt>
              <c:pt idx="19">
                <c:v>1.4453414956466518E-2</c:v>
              </c:pt>
              <c:pt idx="20">
                <c:v>1.61371417046327E-2</c:v>
              </c:pt>
              <c:pt idx="21">
                <c:v>1.795095462826482E-2</c:v>
              </c:pt>
              <c:pt idx="22">
                <c:v>1.9895427758549699E-2</c:v>
              </c:pt>
              <c:pt idx="23">
                <c:v>2.1969683893013979E-2</c:v>
              </c:pt>
              <c:pt idx="24">
                <c:v>2.4171251134299736E-2</c:v>
              </c:pt>
              <c:pt idx="25">
                <c:v>2.6495934916950733E-2</c:v>
              </c:pt>
              <c:pt idx="26">
                <c:v>2.8937710086750456E-2</c:v>
              </c:pt>
              <c:pt idx="27">
                <c:v>3.1488637523768674E-2</c:v>
              </c:pt>
              <c:pt idx="28">
                <c:v>3.4138809581809544E-2</c:v>
              </c:pt>
              <c:pt idx="29">
                <c:v>3.6876328246732225E-2</c:v>
              </c:pt>
              <c:pt idx="30">
                <c:v>3.9687319392616972E-2</c:v>
              </c:pt>
              <c:pt idx="31">
                <c:v>4.255598584216376E-2</c:v>
              </c:pt>
              <c:pt idx="32">
                <c:v>4.5464701126272107E-2</c:v>
              </c:pt>
              <c:pt idx="33">
                <c:v>4.8394144903828581E-2</c:v>
              </c:pt>
              <c:pt idx="34">
                <c:v>5.1323479968648736E-2</c:v>
              </c:pt>
              <c:pt idx="35">
                <c:v>5.4230569664095535E-2</c:v>
              </c:pt>
              <c:pt idx="36">
                <c:v>5.7092233379680918E-2</c:v>
              </c:pt>
              <c:pt idx="37">
                <c:v>5.9884536654219868E-2</c:v>
              </c:pt>
              <c:pt idx="38">
                <c:v>6.2583111295583846E-2</c:v>
              </c:pt>
              <c:pt idx="39">
                <c:v>6.5163499887537918E-2</c:v>
              </c:pt>
              <c:pt idx="40">
                <c:v>6.7601518128723156E-2</c:v>
              </c:pt>
              <c:pt idx="41">
                <c:v>6.9873627674530814E-2</c:v>
              </c:pt>
              <c:pt idx="42">
                <c:v>7.1957311562524592E-2</c:v>
              </c:pt>
              <c:pt idx="43">
                <c:v>7.3831443923939435E-2</c:v>
              </c:pt>
              <c:pt idx="44">
                <c:v>7.5476645538598577E-2</c:v>
              </c:pt>
              <c:pt idx="45">
                <c:v>7.687561689145174E-2</c:v>
              </c:pt>
              <c:pt idx="46">
                <c:v>7.8013440740257317E-2</c:v>
              </c:pt>
              <c:pt idx="47">
                <c:v>7.8877846800983739E-2</c:v>
              </c:pt>
              <c:pt idx="48">
                <c:v>7.9459431986348347E-2</c:v>
              </c:pt>
              <c:pt idx="49">
                <c:v>7.9751830670748342E-2</c:v>
              </c:pt>
              <c:pt idx="50">
                <c:v>7.9751830670748355E-2</c:v>
              </c:pt>
              <c:pt idx="51">
                <c:v>7.9459431986348361E-2</c:v>
              </c:pt>
              <c:pt idx="52">
                <c:v>7.8877846800983795E-2</c:v>
              </c:pt>
              <c:pt idx="53">
                <c:v>7.8013440740257387E-2</c:v>
              </c:pt>
              <c:pt idx="54">
                <c:v>7.6875616891451837E-2</c:v>
              </c:pt>
              <c:pt idx="55">
                <c:v>7.5476645538598688E-2</c:v>
              </c:pt>
              <c:pt idx="56">
                <c:v>7.3831443923939546E-2</c:v>
              </c:pt>
              <c:pt idx="57">
                <c:v>7.1957311562524731E-2</c:v>
              </c:pt>
              <c:pt idx="58">
                <c:v>6.987362767453098E-2</c:v>
              </c:pt>
              <c:pt idx="59">
                <c:v>6.7601518128723309E-2</c:v>
              </c:pt>
              <c:pt idx="60">
                <c:v>6.5163499887538126E-2</c:v>
              </c:pt>
              <c:pt idx="61">
                <c:v>6.258311129558404E-2</c:v>
              </c:pt>
              <c:pt idx="62">
                <c:v>5.9884536654220062E-2</c:v>
              </c:pt>
              <c:pt idx="63">
                <c:v>5.7092233379681105E-2</c:v>
              </c:pt>
              <c:pt idx="64">
                <c:v>5.4230569664095757E-2</c:v>
              </c:pt>
              <c:pt idx="65">
                <c:v>5.1323479968648937E-2</c:v>
              </c:pt>
              <c:pt idx="66">
                <c:v>4.8394144903828817E-2</c:v>
              </c:pt>
              <c:pt idx="67">
                <c:v>4.5464701126272301E-2</c:v>
              </c:pt>
              <c:pt idx="68">
                <c:v>4.2555985842163982E-2</c:v>
              </c:pt>
              <c:pt idx="69">
                <c:v>3.9687319392617167E-2</c:v>
              </c:pt>
              <c:pt idx="70">
                <c:v>3.687632824673244E-2</c:v>
              </c:pt>
              <c:pt idx="71">
                <c:v>3.4138809581809731E-2</c:v>
              </c:pt>
              <c:pt idx="72">
                <c:v>3.1488637523768875E-2</c:v>
              </c:pt>
              <c:pt idx="73">
                <c:v>2.8937710086750629E-2</c:v>
              </c:pt>
              <c:pt idx="74">
                <c:v>2.649593491695091E-2</c:v>
              </c:pt>
              <c:pt idx="75">
                <c:v>2.4171251134299892E-2</c:v>
              </c:pt>
              <c:pt idx="76">
                <c:v>2.1969683893014146E-2</c:v>
              </c:pt>
              <c:pt idx="77">
                <c:v>1.9895427758549841E-2</c:v>
              </c:pt>
              <c:pt idx="78">
                <c:v>1.7950954628264966E-2</c:v>
              </c:pt>
              <c:pt idx="79">
                <c:v>1.6137141704632822E-2</c:v>
              </c:pt>
              <c:pt idx="80">
                <c:v>1.4453414956466641E-2</c:v>
              </c:pt>
              <c:pt idx="81">
                <c:v>1.2897903564186641E-2</c:v>
              </c:pt>
              <c:pt idx="82">
                <c:v>1.146760102496267E-2</c:v>
              </c:pt>
              <c:pt idx="83">
                <c:v>1.0158528875160888E-2</c:v>
              </c:pt>
              <c:pt idx="84">
                <c:v>8.965899351718612E-3</c:v>
              </c:pt>
              <c:pt idx="85">
                <c:v>7.8842737408057213E-3</c:v>
              </c:pt>
              <c:pt idx="86">
                <c:v>6.90771363134617E-3</c:v>
              </c:pt>
              <c:pt idx="87">
                <c:v>6.0299227833601841E-3</c:v>
              </c:pt>
              <c:pt idx="88">
                <c:v>5.2443778187419446E-3</c:v>
              </c:pt>
              <c:pt idx="89">
                <c:v>4.544446429019129E-3</c:v>
              </c:pt>
              <c:pt idx="90">
                <c:v>3.9234922571495193E-3</c:v>
              </c:pt>
              <c:pt idx="91">
                <c:v>3.3749660373244834E-3</c:v>
              </c:pt>
              <c:pt idx="92">
                <c:v>2.8924829595268651E-3</c:v>
              </c:pt>
              <c:pt idx="93">
                <c:v>2.4698865583042528E-3</c:v>
              </c:pt>
              <c:pt idx="94">
                <c:v>2.1012997044300647E-3</c:v>
              </c:pt>
              <c:pt idx="95">
                <c:v>1.7811635026832291E-3</c:v>
              </c:pt>
              <c:pt idx="96">
                <c:v>1.5042650697418868E-3</c:v>
              </c:pt>
              <c:pt idx="97">
                <c:v>1.2657552857165658E-3</c:v>
              </c:pt>
              <c:pt idx="98">
                <c:v>1.0611576850575346E-3</c:v>
              </c:pt>
              <c:pt idx="99">
                <c:v>8.8636968238761334E-4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3E73-438D-AEB1-EE8BD29E1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438688"/>
        <c:axId val="566439080"/>
      </c:scatterChart>
      <c:valAx>
        <c:axId val="56643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X</a:t>
                </a:r>
              </a:p>
            </c:rich>
          </c:tx>
          <c:layout>
            <c:manualLayout>
              <c:xMode val="edge"/>
              <c:yMode val="edge"/>
              <c:x val="0.95930415674784841"/>
              <c:y val="0.89644284755667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6439080"/>
        <c:crosses val="autoZero"/>
        <c:crossBetween val="midCat"/>
      </c:valAx>
      <c:valAx>
        <c:axId val="566439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6438688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410934098353982"/>
          <c:y val="3.55987055016181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9069822458330414E-2"/>
          <c:y val="0.15534029676216363"/>
          <c:w val="0.94380023581379413"/>
          <c:h val="0.72815764107264191"/>
        </c:manualLayout>
      </c:layout>
      <c:scatterChart>
        <c:scatterStyle val="smoothMarker"/>
        <c:varyColors val="0"/>
        <c:ser>
          <c:idx val="0"/>
          <c:order val="0"/>
          <c:tx>
            <c:v>Normal curve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100"/>
              <c:pt idx="0">
                <c:v>-3</c:v>
              </c:pt>
              <c:pt idx="1">
                <c:v>-2.9393939393939394</c:v>
              </c:pt>
              <c:pt idx="2">
                <c:v>-2.8787878787878789</c:v>
              </c:pt>
              <c:pt idx="3">
                <c:v>-2.8181818181818183</c:v>
              </c:pt>
              <c:pt idx="4">
                <c:v>-2.7575757575757578</c:v>
              </c:pt>
              <c:pt idx="5">
                <c:v>-2.6969696969696972</c:v>
              </c:pt>
              <c:pt idx="6">
                <c:v>-2.6363636363636367</c:v>
              </c:pt>
              <c:pt idx="7">
                <c:v>-2.5757575757575761</c:v>
              </c:pt>
              <c:pt idx="8">
                <c:v>-2.5151515151515156</c:v>
              </c:pt>
              <c:pt idx="9">
                <c:v>-2.454545454545455</c:v>
              </c:pt>
              <c:pt idx="10">
                <c:v>-2.3939393939393945</c:v>
              </c:pt>
              <c:pt idx="11">
                <c:v>-2.3333333333333339</c:v>
              </c:pt>
              <c:pt idx="12">
                <c:v>-2.2727272727272734</c:v>
              </c:pt>
              <c:pt idx="13">
                <c:v>-2.2121212121212128</c:v>
              </c:pt>
              <c:pt idx="14">
                <c:v>-2.1515151515151523</c:v>
              </c:pt>
              <c:pt idx="15">
                <c:v>-2.0909090909090917</c:v>
              </c:pt>
              <c:pt idx="16">
                <c:v>-2.0303030303030312</c:v>
              </c:pt>
              <c:pt idx="17">
                <c:v>-1.9696969696969706</c:v>
              </c:pt>
              <c:pt idx="18">
                <c:v>-1.9090909090909101</c:v>
              </c:pt>
              <c:pt idx="19">
                <c:v>-1.8484848484848495</c:v>
              </c:pt>
              <c:pt idx="20">
                <c:v>-1.787878787878789</c:v>
              </c:pt>
              <c:pt idx="21">
                <c:v>-1.7272727272727284</c:v>
              </c:pt>
              <c:pt idx="22">
                <c:v>-1.6666666666666679</c:v>
              </c:pt>
              <c:pt idx="23">
                <c:v>-1.6060606060606073</c:v>
              </c:pt>
              <c:pt idx="24">
                <c:v>-1.5454545454545467</c:v>
              </c:pt>
              <c:pt idx="25">
                <c:v>-1.4848484848484862</c:v>
              </c:pt>
              <c:pt idx="26">
                <c:v>-1.4242424242424256</c:v>
              </c:pt>
              <c:pt idx="27">
                <c:v>-1.3636363636363651</c:v>
              </c:pt>
              <c:pt idx="28">
                <c:v>-1.3030303030303045</c:v>
              </c:pt>
              <c:pt idx="29">
                <c:v>-1.242424242424244</c:v>
              </c:pt>
              <c:pt idx="30">
                <c:v>-1.1818181818181834</c:v>
              </c:pt>
              <c:pt idx="31">
                <c:v>-1.1212121212121229</c:v>
              </c:pt>
              <c:pt idx="32">
                <c:v>-1.0606060606060623</c:v>
              </c:pt>
              <c:pt idx="33">
                <c:v>-1.0000000000000018</c:v>
              </c:pt>
              <c:pt idx="34">
                <c:v>-0.93939393939394122</c:v>
              </c:pt>
              <c:pt idx="35">
                <c:v>-0.87878787878788067</c:v>
              </c:pt>
              <c:pt idx="36">
                <c:v>-0.81818181818182012</c:v>
              </c:pt>
              <c:pt idx="37">
                <c:v>-0.75757575757575957</c:v>
              </c:pt>
              <c:pt idx="38">
                <c:v>-0.69696969696969902</c:v>
              </c:pt>
              <c:pt idx="39">
                <c:v>-0.63636363636363846</c:v>
              </c:pt>
              <c:pt idx="40">
                <c:v>-0.57575757575757791</c:v>
              </c:pt>
              <c:pt idx="41">
                <c:v>-0.51515151515151736</c:v>
              </c:pt>
              <c:pt idx="42">
                <c:v>-0.45454545454545675</c:v>
              </c:pt>
              <c:pt idx="43">
                <c:v>-0.39393939393939614</c:v>
              </c:pt>
              <c:pt idx="44">
                <c:v>-0.33333333333333554</c:v>
              </c:pt>
              <c:pt idx="45">
                <c:v>-0.27272727272727493</c:v>
              </c:pt>
              <c:pt idx="46">
                <c:v>-0.21212121212121432</c:v>
              </c:pt>
              <c:pt idx="47">
                <c:v>-0.15151515151515371</c:v>
              </c:pt>
              <c:pt idx="48">
                <c:v>-9.0909090909093104E-2</c:v>
              </c:pt>
              <c:pt idx="49">
                <c:v>-3.0303030303032497E-2</c:v>
              </c:pt>
              <c:pt idx="50">
                <c:v>3.0303030303028111E-2</c:v>
              </c:pt>
              <c:pt idx="51">
                <c:v>9.0909090909088719E-2</c:v>
              </c:pt>
              <c:pt idx="52">
                <c:v>0.15151515151514933</c:v>
              </c:pt>
              <c:pt idx="53">
                <c:v>0.21212121212120993</c:v>
              </c:pt>
              <c:pt idx="54">
                <c:v>0.27272727272727054</c:v>
              </c:pt>
              <c:pt idx="55">
                <c:v>0.33333333333333115</c:v>
              </c:pt>
              <c:pt idx="56">
                <c:v>0.39393939393939176</c:v>
              </c:pt>
              <c:pt idx="57">
                <c:v>0.45454545454545237</c:v>
              </c:pt>
              <c:pt idx="58">
                <c:v>0.51515151515151292</c:v>
              </c:pt>
              <c:pt idx="59">
                <c:v>0.57575757575757347</c:v>
              </c:pt>
              <c:pt idx="60">
                <c:v>0.63636363636363402</c:v>
              </c:pt>
              <c:pt idx="61">
                <c:v>0.69696969696969457</c:v>
              </c:pt>
              <c:pt idx="62">
                <c:v>0.75757575757575513</c:v>
              </c:pt>
              <c:pt idx="63">
                <c:v>0.81818181818181568</c:v>
              </c:pt>
              <c:pt idx="64">
                <c:v>0.87878787878787623</c:v>
              </c:pt>
              <c:pt idx="65">
                <c:v>0.93939393939393678</c:v>
              </c:pt>
              <c:pt idx="66">
                <c:v>0.99999999999999734</c:v>
              </c:pt>
              <c:pt idx="67">
                <c:v>1.0606060606060579</c:v>
              </c:pt>
              <c:pt idx="68">
                <c:v>1.1212121212121184</c:v>
              </c:pt>
              <c:pt idx="69">
                <c:v>1.181818181818179</c:v>
              </c:pt>
              <c:pt idx="70">
                <c:v>1.2424242424242395</c:v>
              </c:pt>
              <c:pt idx="71">
                <c:v>1.3030303030303001</c:v>
              </c:pt>
              <c:pt idx="72">
                <c:v>1.3636363636363606</c:v>
              </c:pt>
              <c:pt idx="73">
                <c:v>1.4242424242424212</c:v>
              </c:pt>
              <c:pt idx="74">
                <c:v>1.4848484848484818</c:v>
              </c:pt>
              <c:pt idx="75">
                <c:v>1.5454545454545423</c:v>
              </c:pt>
              <c:pt idx="76">
                <c:v>1.6060606060606029</c:v>
              </c:pt>
              <c:pt idx="77">
                <c:v>1.6666666666666634</c:v>
              </c:pt>
              <c:pt idx="78">
                <c:v>1.727272727272724</c:v>
              </c:pt>
              <c:pt idx="79">
                <c:v>1.7878787878787845</c:v>
              </c:pt>
              <c:pt idx="80">
                <c:v>1.8484848484848451</c:v>
              </c:pt>
              <c:pt idx="81">
                <c:v>1.9090909090909056</c:v>
              </c:pt>
              <c:pt idx="82">
                <c:v>1.9696969696969662</c:v>
              </c:pt>
              <c:pt idx="83">
                <c:v>2.0303030303030267</c:v>
              </c:pt>
              <c:pt idx="84">
                <c:v>2.0909090909090873</c:v>
              </c:pt>
              <c:pt idx="85">
                <c:v>2.1515151515151478</c:v>
              </c:pt>
              <c:pt idx="86">
                <c:v>2.2121212121212084</c:v>
              </c:pt>
              <c:pt idx="87">
                <c:v>2.2727272727272689</c:v>
              </c:pt>
              <c:pt idx="88">
                <c:v>2.3333333333333295</c:v>
              </c:pt>
              <c:pt idx="89">
                <c:v>2.39393939393939</c:v>
              </c:pt>
              <c:pt idx="90">
                <c:v>2.4545454545454506</c:v>
              </c:pt>
              <c:pt idx="91">
                <c:v>2.5151515151515111</c:v>
              </c:pt>
              <c:pt idx="92">
                <c:v>2.5757575757575717</c:v>
              </c:pt>
              <c:pt idx="93">
                <c:v>2.6363636363636322</c:v>
              </c:pt>
              <c:pt idx="94">
                <c:v>2.6969696969696928</c:v>
              </c:pt>
              <c:pt idx="95">
                <c:v>2.7575757575757534</c:v>
              </c:pt>
              <c:pt idx="96">
                <c:v>2.8181818181818139</c:v>
              </c:pt>
              <c:pt idx="97">
                <c:v>2.8787878787878745</c:v>
              </c:pt>
              <c:pt idx="98">
                <c:v>2.939393939393935</c:v>
              </c:pt>
              <c:pt idx="99">
                <c:v>2.9999999999999956</c:v>
              </c:pt>
            </c:numLit>
          </c:xVal>
          <c:yVal>
            <c:numLit>
              <c:formatCode>General</c:formatCode>
              <c:ptCount val="100"/>
              <c:pt idx="0">
                <c:v>8.8636968238760153E-4</c:v>
              </c:pt>
              <c:pt idx="1">
                <c:v>1.0611576850575214E-3</c:v>
              </c:pt>
              <c:pt idx="2">
                <c:v>1.2657552857165523E-3</c:v>
              </c:pt>
              <c:pt idx="3">
                <c:v>1.504265069741864E-3</c:v>
              </c:pt>
              <c:pt idx="4">
                <c:v>1.781163502683207E-3</c:v>
              </c:pt>
              <c:pt idx="5">
                <c:v>2.10129970443004E-3</c:v>
              </c:pt>
              <c:pt idx="6">
                <c:v>2.4698865583042211E-3</c:v>
              </c:pt>
              <c:pt idx="7">
                <c:v>2.8924829595268356E-3</c:v>
              </c:pt>
              <c:pt idx="8">
                <c:v>3.3749660373244461E-3</c:v>
              </c:pt>
              <c:pt idx="9">
                <c:v>3.923492257149476E-3</c:v>
              </c:pt>
              <c:pt idx="10">
                <c:v>4.5444464290190804E-3</c:v>
              </c:pt>
              <c:pt idx="11">
                <c:v>5.2443778187418926E-3</c:v>
              </c:pt>
              <c:pt idx="12">
                <c:v>6.0299227833601225E-3</c:v>
              </c:pt>
              <c:pt idx="13">
                <c:v>6.9077136313460998E-3</c:v>
              </c:pt>
              <c:pt idx="14">
                <c:v>7.8842737408056449E-3</c:v>
              </c:pt>
              <c:pt idx="15">
                <c:v>8.9658993517185322E-3</c:v>
              </c:pt>
              <c:pt idx="16">
                <c:v>1.0158528875160791E-2</c:v>
              </c:pt>
              <c:pt idx="17">
                <c:v>1.1467601024962564E-2</c:v>
              </c:pt>
              <c:pt idx="18">
                <c:v>1.2897903564186535E-2</c:v>
              </c:pt>
              <c:pt idx="19">
                <c:v>1.4453414956466518E-2</c:v>
              </c:pt>
              <c:pt idx="20">
                <c:v>1.61371417046327E-2</c:v>
              </c:pt>
              <c:pt idx="21">
                <c:v>1.795095462826482E-2</c:v>
              </c:pt>
              <c:pt idx="22">
                <c:v>1.9895427758549699E-2</c:v>
              </c:pt>
              <c:pt idx="23">
                <c:v>2.1969683893013979E-2</c:v>
              </c:pt>
              <c:pt idx="24">
                <c:v>2.4171251134299736E-2</c:v>
              </c:pt>
              <c:pt idx="25">
                <c:v>2.6495934916950733E-2</c:v>
              </c:pt>
              <c:pt idx="26">
                <c:v>2.8937710086750456E-2</c:v>
              </c:pt>
              <c:pt idx="27">
                <c:v>3.1488637523768674E-2</c:v>
              </c:pt>
              <c:pt idx="28">
                <c:v>3.4138809581809544E-2</c:v>
              </c:pt>
              <c:pt idx="29">
                <c:v>3.6876328246732225E-2</c:v>
              </c:pt>
              <c:pt idx="30">
                <c:v>3.9687319392616972E-2</c:v>
              </c:pt>
              <c:pt idx="31">
                <c:v>4.255598584216376E-2</c:v>
              </c:pt>
              <c:pt idx="32">
                <c:v>4.5464701126272107E-2</c:v>
              </c:pt>
              <c:pt idx="33">
                <c:v>4.8394144903828581E-2</c:v>
              </c:pt>
              <c:pt idx="34">
                <c:v>5.1323479968648736E-2</c:v>
              </c:pt>
              <c:pt idx="35">
                <c:v>5.4230569664095535E-2</c:v>
              </c:pt>
              <c:pt idx="36">
                <c:v>5.7092233379680918E-2</c:v>
              </c:pt>
              <c:pt idx="37">
                <c:v>5.9884536654219868E-2</c:v>
              </c:pt>
              <c:pt idx="38">
                <c:v>6.2583111295583846E-2</c:v>
              </c:pt>
              <c:pt idx="39">
                <c:v>6.5163499887537918E-2</c:v>
              </c:pt>
              <c:pt idx="40">
                <c:v>6.7601518128723156E-2</c:v>
              </c:pt>
              <c:pt idx="41">
                <c:v>6.9873627674530814E-2</c:v>
              </c:pt>
              <c:pt idx="42">
                <c:v>7.1957311562524592E-2</c:v>
              </c:pt>
              <c:pt idx="43">
                <c:v>7.3831443923939435E-2</c:v>
              </c:pt>
              <c:pt idx="44">
                <c:v>7.5476645538598577E-2</c:v>
              </c:pt>
              <c:pt idx="45">
                <c:v>7.687561689145174E-2</c:v>
              </c:pt>
              <c:pt idx="46">
                <c:v>7.8013440740257317E-2</c:v>
              </c:pt>
              <c:pt idx="47">
                <c:v>7.8877846800983739E-2</c:v>
              </c:pt>
              <c:pt idx="48">
                <c:v>7.9459431986348347E-2</c:v>
              </c:pt>
              <c:pt idx="49">
                <c:v>7.9751830670748342E-2</c:v>
              </c:pt>
              <c:pt idx="50">
                <c:v>7.9751830670748355E-2</c:v>
              </c:pt>
              <c:pt idx="51">
                <c:v>7.9459431986348361E-2</c:v>
              </c:pt>
              <c:pt idx="52">
                <c:v>7.8877846800983795E-2</c:v>
              </c:pt>
              <c:pt idx="53">
                <c:v>7.8013440740257387E-2</c:v>
              </c:pt>
              <c:pt idx="54">
                <c:v>7.6875616891451837E-2</c:v>
              </c:pt>
              <c:pt idx="55">
                <c:v>7.5476645538598688E-2</c:v>
              </c:pt>
              <c:pt idx="56">
                <c:v>7.3831443923939546E-2</c:v>
              </c:pt>
              <c:pt idx="57">
                <c:v>7.1957311562524731E-2</c:v>
              </c:pt>
              <c:pt idx="58">
                <c:v>6.987362767453098E-2</c:v>
              </c:pt>
              <c:pt idx="59">
                <c:v>6.7601518128723309E-2</c:v>
              </c:pt>
              <c:pt idx="60">
                <c:v>6.5163499887538126E-2</c:v>
              </c:pt>
              <c:pt idx="61">
                <c:v>6.258311129558404E-2</c:v>
              </c:pt>
              <c:pt idx="62">
                <c:v>5.9884536654220062E-2</c:v>
              </c:pt>
              <c:pt idx="63">
                <c:v>5.7092233379681105E-2</c:v>
              </c:pt>
              <c:pt idx="64">
                <c:v>5.4230569664095757E-2</c:v>
              </c:pt>
              <c:pt idx="65">
                <c:v>5.1323479968648937E-2</c:v>
              </c:pt>
              <c:pt idx="66">
                <c:v>4.8394144903828817E-2</c:v>
              </c:pt>
              <c:pt idx="67">
                <c:v>4.5464701126272301E-2</c:v>
              </c:pt>
              <c:pt idx="68">
                <c:v>4.2555985842163982E-2</c:v>
              </c:pt>
              <c:pt idx="69">
                <c:v>3.9687319392617167E-2</c:v>
              </c:pt>
              <c:pt idx="70">
                <c:v>3.687632824673244E-2</c:v>
              </c:pt>
              <c:pt idx="71">
                <c:v>3.4138809581809731E-2</c:v>
              </c:pt>
              <c:pt idx="72">
                <c:v>3.1488637523768875E-2</c:v>
              </c:pt>
              <c:pt idx="73">
                <c:v>2.8937710086750629E-2</c:v>
              </c:pt>
              <c:pt idx="74">
                <c:v>2.649593491695091E-2</c:v>
              </c:pt>
              <c:pt idx="75">
                <c:v>2.4171251134299892E-2</c:v>
              </c:pt>
              <c:pt idx="76">
                <c:v>2.1969683893014146E-2</c:v>
              </c:pt>
              <c:pt idx="77">
                <c:v>1.9895427758549841E-2</c:v>
              </c:pt>
              <c:pt idx="78">
                <c:v>1.7950954628264966E-2</c:v>
              </c:pt>
              <c:pt idx="79">
                <c:v>1.6137141704632822E-2</c:v>
              </c:pt>
              <c:pt idx="80">
                <c:v>1.4453414956466641E-2</c:v>
              </c:pt>
              <c:pt idx="81">
                <c:v>1.2897903564186641E-2</c:v>
              </c:pt>
              <c:pt idx="82">
                <c:v>1.146760102496267E-2</c:v>
              </c:pt>
              <c:pt idx="83">
                <c:v>1.0158528875160888E-2</c:v>
              </c:pt>
              <c:pt idx="84">
                <c:v>8.965899351718612E-3</c:v>
              </c:pt>
              <c:pt idx="85">
                <c:v>7.8842737408057213E-3</c:v>
              </c:pt>
              <c:pt idx="86">
                <c:v>6.90771363134617E-3</c:v>
              </c:pt>
              <c:pt idx="87">
                <c:v>6.0299227833601841E-3</c:v>
              </c:pt>
              <c:pt idx="88">
                <c:v>5.2443778187419446E-3</c:v>
              </c:pt>
              <c:pt idx="89">
                <c:v>4.544446429019129E-3</c:v>
              </c:pt>
              <c:pt idx="90">
                <c:v>3.9234922571495193E-3</c:v>
              </c:pt>
              <c:pt idx="91">
                <c:v>3.3749660373244834E-3</c:v>
              </c:pt>
              <c:pt idx="92">
                <c:v>2.8924829595268651E-3</c:v>
              </c:pt>
              <c:pt idx="93">
                <c:v>2.4698865583042528E-3</c:v>
              </c:pt>
              <c:pt idx="94">
                <c:v>2.1012997044300647E-3</c:v>
              </c:pt>
              <c:pt idx="95">
                <c:v>1.7811635026832291E-3</c:v>
              </c:pt>
              <c:pt idx="96">
                <c:v>1.5042650697418868E-3</c:v>
              </c:pt>
              <c:pt idx="97">
                <c:v>1.2657552857165658E-3</c:v>
              </c:pt>
              <c:pt idx="98">
                <c:v>1.0611576850575346E-3</c:v>
              </c:pt>
              <c:pt idx="99">
                <c:v>8.8636968238761334E-4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F8B4-4100-9753-B2E201DB5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439864"/>
        <c:axId val="566440256"/>
      </c:scatterChart>
      <c:valAx>
        <c:axId val="566439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X</a:t>
                </a:r>
              </a:p>
            </c:rich>
          </c:tx>
          <c:layout>
            <c:manualLayout>
              <c:xMode val="edge"/>
              <c:yMode val="edge"/>
              <c:x val="0.95930415674784841"/>
              <c:y val="0.89644284755667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6440256"/>
        <c:crosses val="autoZero"/>
        <c:crossBetween val="midCat"/>
      </c:valAx>
      <c:valAx>
        <c:axId val="566440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643986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410934098353982"/>
          <c:y val="3.55987055016181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9069822458330414E-2"/>
          <c:y val="0.15534029676216363"/>
          <c:w val="0.94380023581379413"/>
          <c:h val="0.72815764107264191"/>
        </c:manualLayout>
      </c:layout>
      <c:scatterChart>
        <c:scatterStyle val="smoothMarker"/>
        <c:varyColors val="0"/>
        <c:ser>
          <c:idx val="0"/>
          <c:order val="0"/>
          <c:tx>
            <c:v>Normal curve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100"/>
              <c:pt idx="0">
                <c:v>-3</c:v>
              </c:pt>
              <c:pt idx="1">
                <c:v>-2.9393939393939394</c:v>
              </c:pt>
              <c:pt idx="2">
                <c:v>-2.8787878787878789</c:v>
              </c:pt>
              <c:pt idx="3">
                <c:v>-2.8181818181818183</c:v>
              </c:pt>
              <c:pt idx="4">
                <c:v>-2.7575757575757578</c:v>
              </c:pt>
              <c:pt idx="5">
                <c:v>-2.6969696969696972</c:v>
              </c:pt>
              <c:pt idx="6">
                <c:v>-2.6363636363636367</c:v>
              </c:pt>
              <c:pt idx="7">
                <c:v>-2.5757575757575761</c:v>
              </c:pt>
              <c:pt idx="8">
                <c:v>-2.5151515151515156</c:v>
              </c:pt>
              <c:pt idx="9">
                <c:v>-2.454545454545455</c:v>
              </c:pt>
              <c:pt idx="10">
                <c:v>-2.3939393939393945</c:v>
              </c:pt>
              <c:pt idx="11">
                <c:v>-2.3333333333333339</c:v>
              </c:pt>
              <c:pt idx="12">
                <c:v>-2.2727272727272734</c:v>
              </c:pt>
              <c:pt idx="13">
                <c:v>-2.2121212121212128</c:v>
              </c:pt>
              <c:pt idx="14">
                <c:v>-2.1515151515151523</c:v>
              </c:pt>
              <c:pt idx="15">
                <c:v>-2.0909090909090917</c:v>
              </c:pt>
              <c:pt idx="16">
                <c:v>-2.0303030303030312</c:v>
              </c:pt>
              <c:pt idx="17">
                <c:v>-1.9696969696969706</c:v>
              </c:pt>
              <c:pt idx="18">
                <c:v>-1.9090909090909101</c:v>
              </c:pt>
              <c:pt idx="19">
                <c:v>-1.8484848484848495</c:v>
              </c:pt>
              <c:pt idx="20">
                <c:v>-1.787878787878789</c:v>
              </c:pt>
              <c:pt idx="21">
                <c:v>-1.7272727272727284</c:v>
              </c:pt>
              <c:pt idx="22">
                <c:v>-1.6666666666666679</c:v>
              </c:pt>
              <c:pt idx="23">
                <c:v>-1.6060606060606073</c:v>
              </c:pt>
              <c:pt idx="24">
                <c:v>-1.5454545454545467</c:v>
              </c:pt>
              <c:pt idx="25">
                <c:v>-1.4848484848484862</c:v>
              </c:pt>
              <c:pt idx="26">
                <c:v>-1.4242424242424256</c:v>
              </c:pt>
              <c:pt idx="27">
                <c:v>-1.3636363636363651</c:v>
              </c:pt>
              <c:pt idx="28">
                <c:v>-1.3030303030303045</c:v>
              </c:pt>
              <c:pt idx="29">
                <c:v>-1.242424242424244</c:v>
              </c:pt>
              <c:pt idx="30">
                <c:v>-1.1818181818181834</c:v>
              </c:pt>
              <c:pt idx="31">
                <c:v>-1.1212121212121229</c:v>
              </c:pt>
              <c:pt idx="32">
                <c:v>-1.0606060606060623</c:v>
              </c:pt>
              <c:pt idx="33">
                <c:v>-1.0000000000000018</c:v>
              </c:pt>
              <c:pt idx="34">
                <c:v>-0.93939393939394122</c:v>
              </c:pt>
              <c:pt idx="35">
                <c:v>-0.87878787878788067</c:v>
              </c:pt>
              <c:pt idx="36">
                <c:v>-0.81818181818182012</c:v>
              </c:pt>
              <c:pt idx="37">
                <c:v>-0.75757575757575957</c:v>
              </c:pt>
              <c:pt idx="38">
                <c:v>-0.69696969696969902</c:v>
              </c:pt>
              <c:pt idx="39">
                <c:v>-0.63636363636363846</c:v>
              </c:pt>
              <c:pt idx="40">
                <c:v>-0.57575757575757791</c:v>
              </c:pt>
              <c:pt idx="41">
                <c:v>-0.51515151515151736</c:v>
              </c:pt>
              <c:pt idx="42">
                <c:v>-0.45454545454545675</c:v>
              </c:pt>
              <c:pt idx="43">
                <c:v>-0.39393939393939614</c:v>
              </c:pt>
              <c:pt idx="44">
                <c:v>-0.33333333333333554</c:v>
              </c:pt>
              <c:pt idx="45">
                <c:v>-0.27272727272727493</c:v>
              </c:pt>
              <c:pt idx="46">
                <c:v>-0.21212121212121432</c:v>
              </c:pt>
              <c:pt idx="47">
                <c:v>-0.15151515151515371</c:v>
              </c:pt>
              <c:pt idx="48">
                <c:v>-9.0909090909093104E-2</c:v>
              </c:pt>
              <c:pt idx="49">
                <c:v>-3.0303030303032497E-2</c:v>
              </c:pt>
              <c:pt idx="50">
                <c:v>3.0303030303028111E-2</c:v>
              </c:pt>
              <c:pt idx="51">
                <c:v>9.0909090909088719E-2</c:v>
              </c:pt>
              <c:pt idx="52">
                <c:v>0.15151515151514933</c:v>
              </c:pt>
              <c:pt idx="53">
                <c:v>0.21212121212120993</c:v>
              </c:pt>
              <c:pt idx="54">
                <c:v>0.27272727272727054</c:v>
              </c:pt>
              <c:pt idx="55">
                <c:v>0.33333333333333115</c:v>
              </c:pt>
              <c:pt idx="56">
                <c:v>0.39393939393939176</c:v>
              </c:pt>
              <c:pt idx="57">
                <c:v>0.45454545454545237</c:v>
              </c:pt>
              <c:pt idx="58">
                <c:v>0.51515151515151292</c:v>
              </c:pt>
              <c:pt idx="59">
                <c:v>0.57575757575757347</c:v>
              </c:pt>
              <c:pt idx="60">
                <c:v>0.63636363636363402</c:v>
              </c:pt>
              <c:pt idx="61">
                <c:v>0.69696969696969457</c:v>
              </c:pt>
              <c:pt idx="62">
                <c:v>0.75757575757575513</c:v>
              </c:pt>
              <c:pt idx="63">
                <c:v>0.81818181818181568</c:v>
              </c:pt>
              <c:pt idx="64">
                <c:v>0.87878787878787623</c:v>
              </c:pt>
              <c:pt idx="65">
                <c:v>0.93939393939393678</c:v>
              </c:pt>
              <c:pt idx="66">
                <c:v>0.99999999999999734</c:v>
              </c:pt>
              <c:pt idx="67">
                <c:v>1.0606060606060579</c:v>
              </c:pt>
              <c:pt idx="68">
                <c:v>1.1212121212121184</c:v>
              </c:pt>
              <c:pt idx="69">
                <c:v>1.181818181818179</c:v>
              </c:pt>
              <c:pt idx="70">
                <c:v>1.2424242424242395</c:v>
              </c:pt>
              <c:pt idx="71">
                <c:v>1.3030303030303001</c:v>
              </c:pt>
              <c:pt idx="72">
                <c:v>1.3636363636363606</c:v>
              </c:pt>
              <c:pt idx="73">
                <c:v>1.4242424242424212</c:v>
              </c:pt>
              <c:pt idx="74">
                <c:v>1.4848484848484818</c:v>
              </c:pt>
              <c:pt idx="75">
                <c:v>1.5454545454545423</c:v>
              </c:pt>
              <c:pt idx="76">
                <c:v>1.6060606060606029</c:v>
              </c:pt>
              <c:pt idx="77">
                <c:v>1.6666666666666634</c:v>
              </c:pt>
              <c:pt idx="78">
                <c:v>1.727272727272724</c:v>
              </c:pt>
              <c:pt idx="79">
                <c:v>1.7878787878787845</c:v>
              </c:pt>
              <c:pt idx="80">
                <c:v>1.8484848484848451</c:v>
              </c:pt>
              <c:pt idx="81">
                <c:v>1.9090909090909056</c:v>
              </c:pt>
              <c:pt idx="82">
                <c:v>1.9696969696969662</c:v>
              </c:pt>
              <c:pt idx="83">
                <c:v>2.0303030303030267</c:v>
              </c:pt>
              <c:pt idx="84">
                <c:v>2.0909090909090873</c:v>
              </c:pt>
              <c:pt idx="85">
                <c:v>2.1515151515151478</c:v>
              </c:pt>
              <c:pt idx="86">
                <c:v>2.2121212121212084</c:v>
              </c:pt>
              <c:pt idx="87">
                <c:v>2.2727272727272689</c:v>
              </c:pt>
              <c:pt idx="88">
                <c:v>2.3333333333333295</c:v>
              </c:pt>
              <c:pt idx="89">
                <c:v>2.39393939393939</c:v>
              </c:pt>
              <c:pt idx="90">
                <c:v>2.4545454545454506</c:v>
              </c:pt>
              <c:pt idx="91">
                <c:v>2.5151515151515111</c:v>
              </c:pt>
              <c:pt idx="92">
                <c:v>2.5757575757575717</c:v>
              </c:pt>
              <c:pt idx="93">
                <c:v>2.6363636363636322</c:v>
              </c:pt>
              <c:pt idx="94">
                <c:v>2.6969696969696928</c:v>
              </c:pt>
              <c:pt idx="95">
                <c:v>2.7575757575757534</c:v>
              </c:pt>
              <c:pt idx="96">
                <c:v>2.8181818181818139</c:v>
              </c:pt>
              <c:pt idx="97">
                <c:v>2.8787878787878745</c:v>
              </c:pt>
              <c:pt idx="98">
                <c:v>2.939393939393935</c:v>
              </c:pt>
              <c:pt idx="99">
                <c:v>2.9999999999999956</c:v>
              </c:pt>
            </c:numLit>
          </c:xVal>
          <c:yVal>
            <c:numLit>
              <c:formatCode>General</c:formatCode>
              <c:ptCount val="100"/>
              <c:pt idx="0">
                <c:v>8.8636968238760153E-4</c:v>
              </c:pt>
              <c:pt idx="1">
                <c:v>1.0611576850575214E-3</c:v>
              </c:pt>
              <c:pt idx="2">
                <c:v>1.2657552857165523E-3</c:v>
              </c:pt>
              <c:pt idx="3">
                <c:v>1.504265069741864E-3</c:v>
              </c:pt>
              <c:pt idx="4">
                <c:v>1.781163502683207E-3</c:v>
              </c:pt>
              <c:pt idx="5">
                <c:v>2.10129970443004E-3</c:v>
              </c:pt>
              <c:pt idx="6">
                <c:v>2.4698865583042211E-3</c:v>
              </c:pt>
              <c:pt idx="7">
                <c:v>2.8924829595268356E-3</c:v>
              </c:pt>
              <c:pt idx="8">
                <c:v>3.3749660373244461E-3</c:v>
              </c:pt>
              <c:pt idx="9">
                <c:v>3.923492257149476E-3</c:v>
              </c:pt>
              <c:pt idx="10">
                <c:v>4.5444464290190804E-3</c:v>
              </c:pt>
              <c:pt idx="11">
                <c:v>5.2443778187418926E-3</c:v>
              </c:pt>
              <c:pt idx="12">
                <c:v>6.0299227833601225E-3</c:v>
              </c:pt>
              <c:pt idx="13">
                <c:v>6.9077136313460998E-3</c:v>
              </c:pt>
              <c:pt idx="14">
                <c:v>7.8842737408056449E-3</c:v>
              </c:pt>
              <c:pt idx="15">
                <c:v>8.9658993517185322E-3</c:v>
              </c:pt>
              <c:pt idx="16">
                <c:v>1.0158528875160791E-2</c:v>
              </c:pt>
              <c:pt idx="17">
                <c:v>1.1467601024962564E-2</c:v>
              </c:pt>
              <c:pt idx="18">
                <c:v>1.2897903564186535E-2</c:v>
              </c:pt>
              <c:pt idx="19">
                <c:v>1.4453414956466518E-2</c:v>
              </c:pt>
              <c:pt idx="20">
                <c:v>1.61371417046327E-2</c:v>
              </c:pt>
              <c:pt idx="21">
                <c:v>1.795095462826482E-2</c:v>
              </c:pt>
              <c:pt idx="22">
                <c:v>1.9895427758549699E-2</c:v>
              </c:pt>
              <c:pt idx="23">
                <c:v>2.1969683893013979E-2</c:v>
              </c:pt>
              <c:pt idx="24">
                <c:v>2.4171251134299736E-2</c:v>
              </c:pt>
              <c:pt idx="25">
                <c:v>2.6495934916950733E-2</c:v>
              </c:pt>
              <c:pt idx="26">
                <c:v>2.8937710086750456E-2</c:v>
              </c:pt>
              <c:pt idx="27">
                <c:v>3.1488637523768674E-2</c:v>
              </c:pt>
              <c:pt idx="28">
                <c:v>3.4138809581809544E-2</c:v>
              </c:pt>
              <c:pt idx="29">
                <c:v>3.6876328246732225E-2</c:v>
              </c:pt>
              <c:pt idx="30">
                <c:v>3.9687319392616972E-2</c:v>
              </c:pt>
              <c:pt idx="31">
                <c:v>4.255598584216376E-2</c:v>
              </c:pt>
              <c:pt idx="32">
                <c:v>4.5464701126272107E-2</c:v>
              </c:pt>
              <c:pt idx="33">
                <c:v>4.8394144903828581E-2</c:v>
              </c:pt>
              <c:pt idx="34">
                <c:v>5.1323479968648736E-2</c:v>
              </c:pt>
              <c:pt idx="35">
                <c:v>5.4230569664095535E-2</c:v>
              </c:pt>
              <c:pt idx="36">
                <c:v>5.7092233379680918E-2</c:v>
              </c:pt>
              <c:pt idx="37">
                <c:v>5.9884536654219868E-2</c:v>
              </c:pt>
              <c:pt idx="38">
                <c:v>6.2583111295583846E-2</c:v>
              </c:pt>
              <c:pt idx="39">
                <c:v>6.5163499887537918E-2</c:v>
              </c:pt>
              <c:pt idx="40">
                <c:v>6.7601518128723156E-2</c:v>
              </c:pt>
              <c:pt idx="41">
                <c:v>6.9873627674530814E-2</c:v>
              </c:pt>
              <c:pt idx="42">
                <c:v>7.1957311562524592E-2</c:v>
              </c:pt>
              <c:pt idx="43">
                <c:v>7.3831443923939435E-2</c:v>
              </c:pt>
              <c:pt idx="44">
                <c:v>7.5476645538598577E-2</c:v>
              </c:pt>
              <c:pt idx="45">
                <c:v>7.687561689145174E-2</c:v>
              </c:pt>
              <c:pt idx="46">
                <c:v>7.8013440740257317E-2</c:v>
              </c:pt>
              <c:pt idx="47">
                <c:v>7.8877846800983739E-2</c:v>
              </c:pt>
              <c:pt idx="48">
                <c:v>7.9459431986348347E-2</c:v>
              </c:pt>
              <c:pt idx="49">
                <c:v>7.9751830670748342E-2</c:v>
              </c:pt>
              <c:pt idx="50">
                <c:v>7.9751830670748355E-2</c:v>
              </c:pt>
              <c:pt idx="51">
                <c:v>7.9459431986348361E-2</c:v>
              </c:pt>
              <c:pt idx="52">
                <c:v>7.8877846800983795E-2</c:v>
              </c:pt>
              <c:pt idx="53">
                <c:v>7.8013440740257387E-2</c:v>
              </c:pt>
              <c:pt idx="54">
                <c:v>7.6875616891451837E-2</c:v>
              </c:pt>
              <c:pt idx="55">
                <c:v>7.5476645538598688E-2</c:v>
              </c:pt>
              <c:pt idx="56">
                <c:v>7.3831443923939546E-2</c:v>
              </c:pt>
              <c:pt idx="57">
                <c:v>7.1957311562524731E-2</c:v>
              </c:pt>
              <c:pt idx="58">
                <c:v>6.987362767453098E-2</c:v>
              </c:pt>
              <c:pt idx="59">
                <c:v>6.7601518128723309E-2</c:v>
              </c:pt>
              <c:pt idx="60">
                <c:v>6.5163499887538126E-2</c:v>
              </c:pt>
              <c:pt idx="61">
                <c:v>6.258311129558404E-2</c:v>
              </c:pt>
              <c:pt idx="62">
                <c:v>5.9884536654220062E-2</c:v>
              </c:pt>
              <c:pt idx="63">
                <c:v>5.7092233379681105E-2</c:v>
              </c:pt>
              <c:pt idx="64">
                <c:v>5.4230569664095757E-2</c:v>
              </c:pt>
              <c:pt idx="65">
                <c:v>5.1323479968648937E-2</c:v>
              </c:pt>
              <c:pt idx="66">
                <c:v>4.8394144903828817E-2</c:v>
              </c:pt>
              <c:pt idx="67">
                <c:v>4.5464701126272301E-2</c:v>
              </c:pt>
              <c:pt idx="68">
                <c:v>4.2555985842163982E-2</c:v>
              </c:pt>
              <c:pt idx="69">
                <c:v>3.9687319392617167E-2</c:v>
              </c:pt>
              <c:pt idx="70">
                <c:v>3.687632824673244E-2</c:v>
              </c:pt>
              <c:pt idx="71">
                <c:v>3.4138809581809731E-2</c:v>
              </c:pt>
              <c:pt idx="72">
                <c:v>3.1488637523768875E-2</c:v>
              </c:pt>
              <c:pt idx="73">
                <c:v>2.8937710086750629E-2</c:v>
              </c:pt>
              <c:pt idx="74">
                <c:v>2.649593491695091E-2</c:v>
              </c:pt>
              <c:pt idx="75">
                <c:v>2.4171251134299892E-2</c:v>
              </c:pt>
              <c:pt idx="76">
                <c:v>2.1969683893014146E-2</c:v>
              </c:pt>
              <c:pt idx="77">
                <c:v>1.9895427758549841E-2</c:v>
              </c:pt>
              <c:pt idx="78">
                <c:v>1.7950954628264966E-2</c:v>
              </c:pt>
              <c:pt idx="79">
                <c:v>1.6137141704632822E-2</c:v>
              </c:pt>
              <c:pt idx="80">
                <c:v>1.4453414956466641E-2</c:v>
              </c:pt>
              <c:pt idx="81">
                <c:v>1.2897903564186641E-2</c:v>
              </c:pt>
              <c:pt idx="82">
                <c:v>1.146760102496267E-2</c:v>
              </c:pt>
              <c:pt idx="83">
                <c:v>1.0158528875160888E-2</c:v>
              </c:pt>
              <c:pt idx="84">
                <c:v>8.965899351718612E-3</c:v>
              </c:pt>
              <c:pt idx="85">
                <c:v>7.8842737408057213E-3</c:v>
              </c:pt>
              <c:pt idx="86">
                <c:v>6.90771363134617E-3</c:v>
              </c:pt>
              <c:pt idx="87">
                <c:v>6.0299227833601841E-3</c:v>
              </c:pt>
              <c:pt idx="88">
                <c:v>5.2443778187419446E-3</c:v>
              </c:pt>
              <c:pt idx="89">
                <c:v>4.544446429019129E-3</c:v>
              </c:pt>
              <c:pt idx="90">
                <c:v>3.9234922571495193E-3</c:v>
              </c:pt>
              <c:pt idx="91">
                <c:v>3.3749660373244834E-3</c:v>
              </c:pt>
              <c:pt idx="92">
                <c:v>2.8924829595268651E-3</c:v>
              </c:pt>
              <c:pt idx="93">
                <c:v>2.4698865583042528E-3</c:v>
              </c:pt>
              <c:pt idx="94">
                <c:v>2.1012997044300647E-3</c:v>
              </c:pt>
              <c:pt idx="95">
                <c:v>1.7811635026832291E-3</c:v>
              </c:pt>
              <c:pt idx="96">
                <c:v>1.5042650697418868E-3</c:v>
              </c:pt>
              <c:pt idx="97">
                <c:v>1.2657552857165658E-3</c:v>
              </c:pt>
              <c:pt idx="98">
                <c:v>1.0611576850575346E-3</c:v>
              </c:pt>
              <c:pt idx="99">
                <c:v>8.8636968238761334E-4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DD84-4B70-971B-14C9A61D8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5151504"/>
        <c:axId val="565151896"/>
      </c:scatterChart>
      <c:valAx>
        <c:axId val="565151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X</a:t>
                </a:r>
              </a:p>
            </c:rich>
          </c:tx>
          <c:layout>
            <c:manualLayout>
              <c:xMode val="edge"/>
              <c:yMode val="edge"/>
              <c:x val="0.95930415674784841"/>
              <c:y val="0.89644284755667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5151896"/>
        <c:crosses val="autoZero"/>
        <c:crossBetween val="midCat"/>
      </c:valAx>
      <c:valAx>
        <c:axId val="565151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515150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410934098353982"/>
          <c:y val="3.55987055016181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9069822458330414E-2"/>
          <c:y val="0.15534029676216363"/>
          <c:w val="0.94380023581379413"/>
          <c:h val="0.72815764107264191"/>
        </c:manualLayout>
      </c:layout>
      <c:scatterChart>
        <c:scatterStyle val="smoothMarker"/>
        <c:varyColors val="0"/>
        <c:ser>
          <c:idx val="0"/>
          <c:order val="0"/>
          <c:tx>
            <c:v>Normal curve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100"/>
              <c:pt idx="0">
                <c:v>-3</c:v>
              </c:pt>
              <c:pt idx="1">
                <c:v>-2.9393939393939394</c:v>
              </c:pt>
              <c:pt idx="2">
                <c:v>-2.8787878787878789</c:v>
              </c:pt>
              <c:pt idx="3">
                <c:v>-2.8181818181818183</c:v>
              </c:pt>
              <c:pt idx="4">
                <c:v>-2.7575757575757578</c:v>
              </c:pt>
              <c:pt idx="5">
                <c:v>-2.6969696969696972</c:v>
              </c:pt>
              <c:pt idx="6">
                <c:v>-2.6363636363636367</c:v>
              </c:pt>
              <c:pt idx="7">
                <c:v>-2.5757575757575761</c:v>
              </c:pt>
              <c:pt idx="8">
                <c:v>-2.5151515151515156</c:v>
              </c:pt>
              <c:pt idx="9">
                <c:v>-2.454545454545455</c:v>
              </c:pt>
              <c:pt idx="10">
                <c:v>-2.3939393939393945</c:v>
              </c:pt>
              <c:pt idx="11">
                <c:v>-2.3333333333333339</c:v>
              </c:pt>
              <c:pt idx="12">
                <c:v>-2.2727272727272734</c:v>
              </c:pt>
              <c:pt idx="13">
                <c:v>-2.2121212121212128</c:v>
              </c:pt>
              <c:pt idx="14">
                <c:v>-2.1515151515151523</c:v>
              </c:pt>
              <c:pt idx="15">
                <c:v>-2.0909090909090917</c:v>
              </c:pt>
              <c:pt idx="16">
                <c:v>-2.0303030303030312</c:v>
              </c:pt>
              <c:pt idx="17">
                <c:v>-1.9696969696969706</c:v>
              </c:pt>
              <c:pt idx="18">
                <c:v>-1.9090909090909101</c:v>
              </c:pt>
              <c:pt idx="19">
                <c:v>-1.8484848484848495</c:v>
              </c:pt>
              <c:pt idx="20">
                <c:v>-1.787878787878789</c:v>
              </c:pt>
              <c:pt idx="21">
                <c:v>-1.7272727272727284</c:v>
              </c:pt>
              <c:pt idx="22">
                <c:v>-1.6666666666666679</c:v>
              </c:pt>
              <c:pt idx="23">
                <c:v>-1.6060606060606073</c:v>
              </c:pt>
              <c:pt idx="24">
                <c:v>-1.5454545454545467</c:v>
              </c:pt>
              <c:pt idx="25">
                <c:v>-1.4848484848484862</c:v>
              </c:pt>
              <c:pt idx="26">
                <c:v>-1.4242424242424256</c:v>
              </c:pt>
              <c:pt idx="27">
                <c:v>-1.3636363636363651</c:v>
              </c:pt>
              <c:pt idx="28">
                <c:v>-1.3030303030303045</c:v>
              </c:pt>
              <c:pt idx="29">
                <c:v>-1.242424242424244</c:v>
              </c:pt>
              <c:pt idx="30">
                <c:v>-1.1818181818181834</c:v>
              </c:pt>
              <c:pt idx="31">
                <c:v>-1.1212121212121229</c:v>
              </c:pt>
              <c:pt idx="32">
                <c:v>-1.0606060606060623</c:v>
              </c:pt>
              <c:pt idx="33">
                <c:v>-1.0000000000000018</c:v>
              </c:pt>
              <c:pt idx="34">
                <c:v>-0.93939393939394122</c:v>
              </c:pt>
              <c:pt idx="35">
                <c:v>-0.87878787878788067</c:v>
              </c:pt>
              <c:pt idx="36">
                <c:v>-0.81818181818182012</c:v>
              </c:pt>
              <c:pt idx="37">
                <c:v>-0.75757575757575957</c:v>
              </c:pt>
              <c:pt idx="38">
                <c:v>-0.69696969696969902</c:v>
              </c:pt>
              <c:pt idx="39">
                <c:v>-0.63636363636363846</c:v>
              </c:pt>
              <c:pt idx="40">
                <c:v>-0.57575757575757791</c:v>
              </c:pt>
              <c:pt idx="41">
                <c:v>-0.51515151515151736</c:v>
              </c:pt>
              <c:pt idx="42">
                <c:v>-0.45454545454545675</c:v>
              </c:pt>
              <c:pt idx="43">
                <c:v>-0.39393939393939614</c:v>
              </c:pt>
              <c:pt idx="44">
                <c:v>-0.33333333333333554</c:v>
              </c:pt>
              <c:pt idx="45">
                <c:v>-0.27272727272727493</c:v>
              </c:pt>
              <c:pt idx="46">
                <c:v>-0.21212121212121432</c:v>
              </c:pt>
              <c:pt idx="47">
                <c:v>-0.15151515151515371</c:v>
              </c:pt>
              <c:pt idx="48">
                <c:v>-9.0909090909093104E-2</c:v>
              </c:pt>
              <c:pt idx="49">
                <c:v>-3.0303030303032497E-2</c:v>
              </c:pt>
              <c:pt idx="50">
                <c:v>3.0303030303028111E-2</c:v>
              </c:pt>
              <c:pt idx="51">
                <c:v>9.0909090909088719E-2</c:v>
              </c:pt>
              <c:pt idx="52">
                <c:v>0.15151515151514933</c:v>
              </c:pt>
              <c:pt idx="53">
                <c:v>0.21212121212120993</c:v>
              </c:pt>
              <c:pt idx="54">
                <c:v>0.27272727272727054</c:v>
              </c:pt>
              <c:pt idx="55">
                <c:v>0.33333333333333115</c:v>
              </c:pt>
              <c:pt idx="56">
                <c:v>0.39393939393939176</c:v>
              </c:pt>
              <c:pt idx="57">
                <c:v>0.45454545454545237</c:v>
              </c:pt>
              <c:pt idx="58">
                <c:v>0.51515151515151292</c:v>
              </c:pt>
              <c:pt idx="59">
                <c:v>0.57575757575757347</c:v>
              </c:pt>
              <c:pt idx="60">
                <c:v>0.63636363636363402</c:v>
              </c:pt>
              <c:pt idx="61">
                <c:v>0.69696969696969457</c:v>
              </c:pt>
              <c:pt idx="62">
                <c:v>0.75757575757575513</c:v>
              </c:pt>
              <c:pt idx="63">
                <c:v>0.81818181818181568</c:v>
              </c:pt>
              <c:pt idx="64">
                <c:v>0.87878787878787623</c:v>
              </c:pt>
              <c:pt idx="65">
                <c:v>0.93939393939393678</c:v>
              </c:pt>
              <c:pt idx="66">
                <c:v>0.99999999999999734</c:v>
              </c:pt>
              <c:pt idx="67">
                <c:v>1.0606060606060579</c:v>
              </c:pt>
              <c:pt idx="68">
                <c:v>1.1212121212121184</c:v>
              </c:pt>
              <c:pt idx="69">
                <c:v>1.181818181818179</c:v>
              </c:pt>
              <c:pt idx="70">
                <c:v>1.2424242424242395</c:v>
              </c:pt>
              <c:pt idx="71">
                <c:v>1.3030303030303001</c:v>
              </c:pt>
              <c:pt idx="72">
                <c:v>1.3636363636363606</c:v>
              </c:pt>
              <c:pt idx="73">
                <c:v>1.4242424242424212</c:v>
              </c:pt>
              <c:pt idx="74">
                <c:v>1.4848484848484818</c:v>
              </c:pt>
              <c:pt idx="75">
                <c:v>1.5454545454545423</c:v>
              </c:pt>
              <c:pt idx="76">
                <c:v>1.6060606060606029</c:v>
              </c:pt>
              <c:pt idx="77">
                <c:v>1.6666666666666634</c:v>
              </c:pt>
              <c:pt idx="78">
                <c:v>1.727272727272724</c:v>
              </c:pt>
              <c:pt idx="79">
                <c:v>1.7878787878787845</c:v>
              </c:pt>
              <c:pt idx="80">
                <c:v>1.8484848484848451</c:v>
              </c:pt>
              <c:pt idx="81">
                <c:v>1.9090909090909056</c:v>
              </c:pt>
              <c:pt idx="82">
                <c:v>1.9696969696969662</c:v>
              </c:pt>
              <c:pt idx="83">
                <c:v>2.0303030303030267</c:v>
              </c:pt>
              <c:pt idx="84">
                <c:v>2.0909090909090873</c:v>
              </c:pt>
              <c:pt idx="85">
                <c:v>2.1515151515151478</c:v>
              </c:pt>
              <c:pt idx="86">
                <c:v>2.2121212121212084</c:v>
              </c:pt>
              <c:pt idx="87">
                <c:v>2.2727272727272689</c:v>
              </c:pt>
              <c:pt idx="88">
                <c:v>2.3333333333333295</c:v>
              </c:pt>
              <c:pt idx="89">
                <c:v>2.39393939393939</c:v>
              </c:pt>
              <c:pt idx="90">
                <c:v>2.4545454545454506</c:v>
              </c:pt>
              <c:pt idx="91">
                <c:v>2.5151515151515111</c:v>
              </c:pt>
              <c:pt idx="92">
                <c:v>2.5757575757575717</c:v>
              </c:pt>
              <c:pt idx="93">
                <c:v>2.6363636363636322</c:v>
              </c:pt>
              <c:pt idx="94">
                <c:v>2.6969696969696928</c:v>
              </c:pt>
              <c:pt idx="95">
                <c:v>2.7575757575757534</c:v>
              </c:pt>
              <c:pt idx="96">
                <c:v>2.8181818181818139</c:v>
              </c:pt>
              <c:pt idx="97">
                <c:v>2.8787878787878745</c:v>
              </c:pt>
              <c:pt idx="98">
                <c:v>2.939393939393935</c:v>
              </c:pt>
              <c:pt idx="99">
                <c:v>2.9999999999999956</c:v>
              </c:pt>
            </c:numLit>
          </c:xVal>
          <c:yVal>
            <c:numLit>
              <c:formatCode>General</c:formatCode>
              <c:ptCount val="100"/>
              <c:pt idx="0">
                <c:v>8.8636968238760153E-4</c:v>
              </c:pt>
              <c:pt idx="1">
                <c:v>1.0611576850575214E-3</c:v>
              </c:pt>
              <c:pt idx="2">
                <c:v>1.2657552857165523E-3</c:v>
              </c:pt>
              <c:pt idx="3">
                <c:v>1.504265069741864E-3</c:v>
              </c:pt>
              <c:pt idx="4">
                <c:v>1.781163502683207E-3</c:v>
              </c:pt>
              <c:pt idx="5">
                <c:v>2.10129970443004E-3</c:v>
              </c:pt>
              <c:pt idx="6">
                <c:v>2.4698865583042211E-3</c:v>
              </c:pt>
              <c:pt idx="7">
                <c:v>2.8924829595268356E-3</c:v>
              </c:pt>
              <c:pt idx="8">
                <c:v>3.3749660373244461E-3</c:v>
              </c:pt>
              <c:pt idx="9">
                <c:v>3.923492257149476E-3</c:v>
              </c:pt>
              <c:pt idx="10">
                <c:v>4.5444464290190804E-3</c:v>
              </c:pt>
              <c:pt idx="11">
                <c:v>5.2443778187418926E-3</c:v>
              </c:pt>
              <c:pt idx="12">
                <c:v>6.0299227833601225E-3</c:v>
              </c:pt>
              <c:pt idx="13">
                <c:v>6.9077136313460998E-3</c:v>
              </c:pt>
              <c:pt idx="14">
                <c:v>7.8842737408056449E-3</c:v>
              </c:pt>
              <c:pt idx="15">
                <c:v>8.9658993517185322E-3</c:v>
              </c:pt>
              <c:pt idx="16">
                <c:v>1.0158528875160791E-2</c:v>
              </c:pt>
              <c:pt idx="17">
                <c:v>1.1467601024962564E-2</c:v>
              </c:pt>
              <c:pt idx="18">
                <c:v>1.2897903564186535E-2</c:v>
              </c:pt>
              <c:pt idx="19">
                <c:v>1.4453414956466518E-2</c:v>
              </c:pt>
              <c:pt idx="20">
                <c:v>1.61371417046327E-2</c:v>
              </c:pt>
              <c:pt idx="21">
                <c:v>1.795095462826482E-2</c:v>
              </c:pt>
              <c:pt idx="22">
                <c:v>1.9895427758549699E-2</c:v>
              </c:pt>
              <c:pt idx="23">
                <c:v>2.1969683893013979E-2</c:v>
              </c:pt>
              <c:pt idx="24">
                <c:v>2.4171251134299736E-2</c:v>
              </c:pt>
              <c:pt idx="25">
                <c:v>2.6495934916950733E-2</c:v>
              </c:pt>
              <c:pt idx="26">
                <c:v>2.8937710086750456E-2</c:v>
              </c:pt>
              <c:pt idx="27">
                <c:v>3.1488637523768674E-2</c:v>
              </c:pt>
              <c:pt idx="28">
                <c:v>3.4138809581809544E-2</c:v>
              </c:pt>
              <c:pt idx="29">
                <c:v>3.6876328246732225E-2</c:v>
              </c:pt>
              <c:pt idx="30">
                <c:v>3.9687319392616972E-2</c:v>
              </c:pt>
              <c:pt idx="31">
                <c:v>4.255598584216376E-2</c:v>
              </c:pt>
              <c:pt idx="32">
                <c:v>4.5464701126272107E-2</c:v>
              </c:pt>
              <c:pt idx="33">
                <c:v>4.8394144903828581E-2</c:v>
              </c:pt>
              <c:pt idx="34">
                <c:v>5.1323479968648736E-2</c:v>
              </c:pt>
              <c:pt idx="35">
                <c:v>5.4230569664095535E-2</c:v>
              </c:pt>
              <c:pt idx="36">
                <c:v>5.7092233379680918E-2</c:v>
              </c:pt>
              <c:pt idx="37">
                <c:v>5.9884536654219868E-2</c:v>
              </c:pt>
              <c:pt idx="38">
                <c:v>6.2583111295583846E-2</c:v>
              </c:pt>
              <c:pt idx="39">
                <c:v>6.5163499887537918E-2</c:v>
              </c:pt>
              <c:pt idx="40">
                <c:v>6.7601518128723156E-2</c:v>
              </c:pt>
              <c:pt idx="41">
                <c:v>6.9873627674530814E-2</c:v>
              </c:pt>
              <c:pt idx="42">
                <c:v>7.1957311562524592E-2</c:v>
              </c:pt>
              <c:pt idx="43">
                <c:v>7.3831443923939435E-2</c:v>
              </c:pt>
              <c:pt idx="44">
                <c:v>7.5476645538598577E-2</c:v>
              </c:pt>
              <c:pt idx="45">
                <c:v>7.687561689145174E-2</c:v>
              </c:pt>
              <c:pt idx="46">
                <c:v>7.8013440740257317E-2</c:v>
              </c:pt>
              <c:pt idx="47">
                <c:v>7.8877846800983739E-2</c:v>
              </c:pt>
              <c:pt idx="48">
                <c:v>7.9459431986348347E-2</c:v>
              </c:pt>
              <c:pt idx="49">
                <c:v>7.9751830670748342E-2</c:v>
              </c:pt>
              <c:pt idx="50">
                <c:v>7.9751830670748355E-2</c:v>
              </c:pt>
              <c:pt idx="51">
                <c:v>7.9459431986348361E-2</c:v>
              </c:pt>
              <c:pt idx="52">
                <c:v>7.8877846800983795E-2</c:v>
              </c:pt>
              <c:pt idx="53">
                <c:v>7.8013440740257387E-2</c:v>
              </c:pt>
              <c:pt idx="54">
                <c:v>7.6875616891451837E-2</c:v>
              </c:pt>
              <c:pt idx="55">
                <c:v>7.5476645538598688E-2</c:v>
              </c:pt>
              <c:pt idx="56">
                <c:v>7.3831443923939546E-2</c:v>
              </c:pt>
              <c:pt idx="57">
                <c:v>7.1957311562524731E-2</c:v>
              </c:pt>
              <c:pt idx="58">
                <c:v>6.987362767453098E-2</c:v>
              </c:pt>
              <c:pt idx="59">
                <c:v>6.7601518128723309E-2</c:v>
              </c:pt>
              <c:pt idx="60">
                <c:v>6.5163499887538126E-2</c:v>
              </c:pt>
              <c:pt idx="61">
                <c:v>6.258311129558404E-2</c:v>
              </c:pt>
              <c:pt idx="62">
                <c:v>5.9884536654220062E-2</c:v>
              </c:pt>
              <c:pt idx="63">
                <c:v>5.7092233379681105E-2</c:v>
              </c:pt>
              <c:pt idx="64">
                <c:v>5.4230569664095757E-2</c:v>
              </c:pt>
              <c:pt idx="65">
                <c:v>5.1323479968648937E-2</c:v>
              </c:pt>
              <c:pt idx="66">
                <c:v>4.8394144903828817E-2</c:v>
              </c:pt>
              <c:pt idx="67">
                <c:v>4.5464701126272301E-2</c:v>
              </c:pt>
              <c:pt idx="68">
                <c:v>4.2555985842163982E-2</c:v>
              </c:pt>
              <c:pt idx="69">
                <c:v>3.9687319392617167E-2</c:v>
              </c:pt>
              <c:pt idx="70">
                <c:v>3.687632824673244E-2</c:v>
              </c:pt>
              <c:pt idx="71">
                <c:v>3.4138809581809731E-2</c:v>
              </c:pt>
              <c:pt idx="72">
                <c:v>3.1488637523768875E-2</c:v>
              </c:pt>
              <c:pt idx="73">
                <c:v>2.8937710086750629E-2</c:v>
              </c:pt>
              <c:pt idx="74">
                <c:v>2.649593491695091E-2</c:v>
              </c:pt>
              <c:pt idx="75">
                <c:v>2.4171251134299892E-2</c:v>
              </c:pt>
              <c:pt idx="76">
                <c:v>2.1969683893014146E-2</c:v>
              </c:pt>
              <c:pt idx="77">
                <c:v>1.9895427758549841E-2</c:v>
              </c:pt>
              <c:pt idx="78">
                <c:v>1.7950954628264966E-2</c:v>
              </c:pt>
              <c:pt idx="79">
                <c:v>1.6137141704632822E-2</c:v>
              </c:pt>
              <c:pt idx="80">
                <c:v>1.4453414956466641E-2</c:v>
              </c:pt>
              <c:pt idx="81">
                <c:v>1.2897903564186641E-2</c:v>
              </c:pt>
              <c:pt idx="82">
                <c:v>1.146760102496267E-2</c:v>
              </c:pt>
              <c:pt idx="83">
                <c:v>1.0158528875160888E-2</c:v>
              </c:pt>
              <c:pt idx="84">
                <c:v>8.965899351718612E-3</c:v>
              </c:pt>
              <c:pt idx="85">
                <c:v>7.8842737408057213E-3</c:v>
              </c:pt>
              <c:pt idx="86">
                <c:v>6.90771363134617E-3</c:v>
              </c:pt>
              <c:pt idx="87">
                <c:v>6.0299227833601841E-3</c:v>
              </c:pt>
              <c:pt idx="88">
                <c:v>5.2443778187419446E-3</c:v>
              </c:pt>
              <c:pt idx="89">
                <c:v>4.544446429019129E-3</c:v>
              </c:pt>
              <c:pt idx="90">
                <c:v>3.9234922571495193E-3</c:v>
              </c:pt>
              <c:pt idx="91">
                <c:v>3.3749660373244834E-3</c:v>
              </c:pt>
              <c:pt idx="92">
                <c:v>2.8924829595268651E-3</c:v>
              </c:pt>
              <c:pt idx="93">
                <c:v>2.4698865583042528E-3</c:v>
              </c:pt>
              <c:pt idx="94">
                <c:v>2.1012997044300647E-3</c:v>
              </c:pt>
              <c:pt idx="95">
                <c:v>1.7811635026832291E-3</c:v>
              </c:pt>
              <c:pt idx="96">
                <c:v>1.5042650697418868E-3</c:v>
              </c:pt>
              <c:pt idx="97">
                <c:v>1.2657552857165658E-3</c:v>
              </c:pt>
              <c:pt idx="98">
                <c:v>1.0611576850575346E-3</c:v>
              </c:pt>
              <c:pt idx="99">
                <c:v>8.8636968238761334E-4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9A63-4D61-9867-DE9A4F35F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5152680"/>
        <c:axId val="565153072"/>
      </c:scatterChart>
      <c:valAx>
        <c:axId val="565152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X</a:t>
                </a:r>
              </a:p>
            </c:rich>
          </c:tx>
          <c:layout>
            <c:manualLayout>
              <c:xMode val="edge"/>
              <c:yMode val="edge"/>
              <c:x val="0.95930415674784841"/>
              <c:y val="0.89644284755667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5153072"/>
        <c:crosses val="autoZero"/>
        <c:crossBetween val="midCat"/>
      </c:valAx>
      <c:valAx>
        <c:axId val="565153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515268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520350091635063"/>
          <c:y val="3.54838709677419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9013567053734601E-2"/>
          <c:y val="0.15483895356437999"/>
          <c:w val="0.94390804814816565"/>
          <c:h val="0.72903340636562242"/>
        </c:manualLayout>
      </c:layout>
      <c:scatterChart>
        <c:scatterStyle val="smoothMarker"/>
        <c:varyColors val="0"/>
        <c:ser>
          <c:idx val="0"/>
          <c:order val="0"/>
          <c:tx>
            <c:v>Normal curve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100"/>
              <c:pt idx="0">
                <c:v>-3</c:v>
              </c:pt>
              <c:pt idx="1">
                <c:v>-2.9393939393939394</c:v>
              </c:pt>
              <c:pt idx="2">
                <c:v>-2.8787878787878789</c:v>
              </c:pt>
              <c:pt idx="3">
                <c:v>-2.8181818181818183</c:v>
              </c:pt>
              <c:pt idx="4">
                <c:v>-2.7575757575757578</c:v>
              </c:pt>
              <c:pt idx="5">
                <c:v>-2.6969696969696972</c:v>
              </c:pt>
              <c:pt idx="6">
                <c:v>-2.6363636363636367</c:v>
              </c:pt>
              <c:pt idx="7">
                <c:v>-2.5757575757575761</c:v>
              </c:pt>
              <c:pt idx="8">
                <c:v>-2.5151515151515156</c:v>
              </c:pt>
              <c:pt idx="9">
                <c:v>-2.454545454545455</c:v>
              </c:pt>
              <c:pt idx="10">
                <c:v>-2.3939393939393945</c:v>
              </c:pt>
              <c:pt idx="11">
                <c:v>-2.3333333333333339</c:v>
              </c:pt>
              <c:pt idx="12">
                <c:v>-2.2727272727272734</c:v>
              </c:pt>
              <c:pt idx="13">
                <c:v>-2.2121212121212128</c:v>
              </c:pt>
              <c:pt idx="14">
                <c:v>-2.1515151515151523</c:v>
              </c:pt>
              <c:pt idx="15">
                <c:v>-2.0909090909090917</c:v>
              </c:pt>
              <c:pt idx="16">
                <c:v>-2.0303030303030312</c:v>
              </c:pt>
              <c:pt idx="17">
                <c:v>-1.9696969696969706</c:v>
              </c:pt>
              <c:pt idx="18">
                <c:v>-1.9090909090909101</c:v>
              </c:pt>
              <c:pt idx="19">
                <c:v>-1.8484848484848495</c:v>
              </c:pt>
              <c:pt idx="20">
                <c:v>-1.787878787878789</c:v>
              </c:pt>
              <c:pt idx="21">
                <c:v>-1.7272727272727284</c:v>
              </c:pt>
              <c:pt idx="22">
                <c:v>-1.6666666666666679</c:v>
              </c:pt>
              <c:pt idx="23">
                <c:v>-1.6060606060606073</c:v>
              </c:pt>
              <c:pt idx="24">
                <c:v>-1.5454545454545467</c:v>
              </c:pt>
              <c:pt idx="25">
                <c:v>-1.4848484848484862</c:v>
              </c:pt>
              <c:pt idx="26">
                <c:v>-1.4242424242424256</c:v>
              </c:pt>
              <c:pt idx="27">
                <c:v>-1.3636363636363651</c:v>
              </c:pt>
              <c:pt idx="28">
                <c:v>-1.3030303030303045</c:v>
              </c:pt>
              <c:pt idx="29">
                <c:v>-1.242424242424244</c:v>
              </c:pt>
              <c:pt idx="30">
                <c:v>-1.1818181818181834</c:v>
              </c:pt>
              <c:pt idx="31">
                <c:v>-1.1212121212121229</c:v>
              </c:pt>
              <c:pt idx="32">
                <c:v>-1.0606060606060623</c:v>
              </c:pt>
              <c:pt idx="33">
                <c:v>-1.0000000000000018</c:v>
              </c:pt>
              <c:pt idx="34">
                <c:v>-0.93939393939394122</c:v>
              </c:pt>
              <c:pt idx="35">
                <c:v>-0.87878787878788067</c:v>
              </c:pt>
              <c:pt idx="36">
                <c:v>-0.81818181818182012</c:v>
              </c:pt>
              <c:pt idx="37">
                <c:v>-0.75757575757575957</c:v>
              </c:pt>
              <c:pt idx="38">
                <c:v>-0.69696969696969902</c:v>
              </c:pt>
              <c:pt idx="39">
                <c:v>-0.63636363636363846</c:v>
              </c:pt>
              <c:pt idx="40">
                <c:v>-0.57575757575757791</c:v>
              </c:pt>
              <c:pt idx="41">
                <c:v>-0.51515151515151736</c:v>
              </c:pt>
              <c:pt idx="42">
                <c:v>-0.45454545454545675</c:v>
              </c:pt>
              <c:pt idx="43">
                <c:v>-0.39393939393939614</c:v>
              </c:pt>
              <c:pt idx="44">
                <c:v>-0.33333333333333554</c:v>
              </c:pt>
              <c:pt idx="45">
                <c:v>-0.27272727272727493</c:v>
              </c:pt>
              <c:pt idx="46">
                <c:v>-0.21212121212121432</c:v>
              </c:pt>
              <c:pt idx="47">
                <c:v>-0.15151515151515371</c:v>
              </c:pt>
              <c:pt idx="48">
                <c:v>-9.0909090909093104E-2</c:v>
              </c:pt>
              <c:pt idx="49">
                <c:v>-3.0303030303032497E-2</c:v>
              </c:pt>
              <c:pt idx="50">
                <c:v>3.0303030303028111E-2</c:v>
              </c:pt>
              <c:pt idx="51">
                <c:v>9.0909090909088719E-2</c:v>
              </c:pt>
              <c:pt idx="52">
                <c:v>0.15151515151514933</c:v>
              </c:pt>
              <c:pt idx="53">
                <c:v>0.21212121212120993</c:v>
              </c:pt>
              <c:pt idx="54">
                <c:v>0.27272727272727054</c:v>
              </c:pt>
              <c:pt idx="55">
                <c:v>0.33333333333333115</c:v>
              </c:pt>
              <c:pt idx="56">
                <c:v>0.39393939393939176</c:v>
              </c:pt>
              <c:pt idx="57">
                <c:v>0.45454545454545237</c:v>
              </c:pt>
              <c:pt idx="58">
                <c:v>0.51515151515151292</c:v>
              </c:pt>
              <c:pt idx="59">
                <c:v>0.57575757575757347</c:v>
              </c:pt>
              <c:pt idx="60">
                <c:v>0.63636363636363402</c:v>
              </c:pt>
              <c:pt idx="61">
                <c:v>0.69696969696969457</c:v>
              </c:pt>
              <c:pt idx="62">
                <c:v>0.75757575757575513</c:v>
              </c:pt>
              <c:pt idx="63">
                <c:v>0.81818181818181568</c:v>
              </c:pt>
              <c:pt idx="64">
                <c:v>0.87878787878787623</c:v>
              </c:pt>
              <c:pt idx="65">
                <c:v>0.93939393939393678</c:v>
              </c:pt>
              <c:pt idx="66">
                <c:v>0.99999999999999734</c:v>
              </c:pt>
              <c:pt idx="67">
                <c:v>1.0606060606060579</c:v>
              </c:pt>
              <c:pt idx="68">
                <c:v>1.1212121212121184</c:v>
              </c:pt>
              <c:pt idx="69">
                <c:v>1.181818181818179</c:v>
              </c:pt>
              <c:pt idx="70">
                <c:v>1.2424242424242395</c:v>
              </c:pt>
              <c:pt idx="71">
                <c:v>1.3030303030303001</c:v>
              </c:pt>
              <c:pt idx="72">
                <c:v>1.3636363636363606</c:v>
              </c:pt>
              <c:pt idx="73">
                <c:v>1.4242424242424212</c:v>
              </c:pt>
              <c:pt idx="74">
                <c:v>1.4848484848484818</c:v>
              </c:pt>
              <c:pt idx="75">
                <c:v>1.5454545454545423</c:v>
              </c:pt>
              <c:pt idx="76">
                <c:v>1.6060606060606029</c:v>
              </c:pt>
              <c:pt idx="77">
                <c:v>1.6666666666666634</c:v>
              </c:pt>
              <c:pt idx="78">
                <c:v>1.727272727272724</c:v>
              </c:pt>
              <c:pt idx="79">
                <c:v>1.7878787878787845</c:v>
              </c:pt>
              <c:pt idx="80">
                <c:v>1.8484848484848451</c:v>
              </c:pt>
              <c:pt idx="81">
                <c:v>1.9090909090909056</c:v>
              </c:pt>
              <c:pt idx="82">
                <c:v>1.9696969696969662</c:v>
              </c:pt>
              <c:pt idx="83">
                <c:v>2.0303030303030267</c:v>
              </c:pt>
              <c:pt idx="84">
                <c:v>2.0909090909090873</c:v>
              </c:pt>
              <c:pt idx="85">
                <c:v>2.1515151515151478</c:v>
              </c:pt>
              <c:pt idx="86">
                <c:v>2.2121212121212084</c:v>
              </c:pt>
              <c:pt idx="87">
                <c:v>2.2727272727272689</c:v>
              </c:pt>
              <c:pt idx="88">
                <c:v>2.3333333333333295</c:v>
              </c:pt>
              <c:pt idx="89">
                <c:v>2.39393939393939</c:v>
              </c:pt>
              <c:pt idx="90">
                <c:v>2.4545454545454506</c:v>
              </c:pt>
              <c:pt idx="91">
                <c:v>2.5151515151515111</c:v>
              </c:pt>
              <c:pt idx="92">
                <c:v>2.5757575757575717</c:v>
              </c:pt>
              <c:pt idx="93">
                <c:v>2.6363636363636322</c:v>
              </c:pt>
              <c:pt idx="94">
                <c:v>2.6969696969696928</c:v>
              </c:pt>
              <c:pt idx="95">
                <c:v>2.7575757575757534</c:v>
              </c:pt>
              <c:pt idx="96">
                <c:v>2.8181818181818139</c:v>
              </c:pt>
              <c:pt idx="97">
                <c:v>2.8787878787878745</c:v>
              </c:pt>
              <c:pt idx="98">
                <c:v>2.939393939393935</c:v>
              </c:pt>
              <c:pt idx="99">
                <c:v>2.9999999999999956</c:v>
              </c:pt>
            </c:numLit>
          </c:xVal>
          <c:yVal>
            <c:numLit>
              <c:formatCode>General</c:formatCode>
              <c:ptCount val="100"/>
              <c:pt idx="0">
                <c:v>8.8636968238760153E-4</c:v>
              </c:pt>
              <c:pt idx="1">
                <c:v>1.0611576850575214E-3</c:v>
              </c:pt>
              <c:pt idx="2">
                <c:v>1.2657552857165523E-3</c:v>
              </c:pt>
              <c:pt idx="3">
                <c:v>1.504265069741864E-3</c:v>
              </c:pt>
              <c:pt idx="4">
                <c:v>1.781163502683207E-3</c:v>
              </c:pt>
              <c:pt idx="5">
                <c:v>2.10129970443004E-3</c:v>
              </c:pt>
              <c:pt idx="6">
                <c:v>2.4698865583042211E-3</c:v>
              </c:pt>
              <c:pt idx="7">
                <c:v>2.8924829595268356E-3</c:v>
              </c:pt>
              <c:pt idx="8">
                <c:v>3.3749660373244461E-3</c:v>
              </c:pt>
              <c:pt idx="9">
                <c:v>3.923492257149476E-3</c:v>
              </c:pt>
              <c:pt idx="10">
                <c:v>4.5444464290190804E-3</c:v>
              </c:pt>
              <c:pt idx="11">
                <c:v>5.2443778187418926E-3</c:v>
              </c:pt>
              <c:pt idx="12">
                <c:v>6.0299227833601225E-3</c:v>
              </c:pt>
              <c:pt idx="13">
                <c:v>6.9077136313460998E-3</c:v>
              </c:pt>
              <c:pt idx="14">
                <c:v>7.8842737408056449E-3</c:v>
              </c:pt>
              <c:pt idx="15">
                <c:v>8.9658993517185322E-3</c:v>
              </c:pt>
              <c:pt idx="16">
                <c:v>1.0158528875160791E-2</c:v>
              </c:pt>
              <c:pt idx="17">
                <c:v>1.1467601024962564E-2</c:v>
              </c:pt>
              <c:pt idx="18">
                <c:v>1.2897903564186535E-2</c:v>
              </c:pt>
              <c:pt idx="19">
                <c:v>1.4453414956466518E-2</c:v>
              </c:pt>
              <c:pt idx="20">
                <c:v>1.61371417046327E-2</c:v>
              </c:pt>
              <c:pt idx="21">
                <c:v>1.795095462826482E-2</c:v>
              </c:pt>
              <c:pt idx="22">
                <c:v>1.9895427758549699E-2</c:v>
              </c:pt>
              <c:pt idx="23">
                <c:v>2.1969683893013979E-2</c:v>
              </c:pt>
              <c:pt idx="24">
                <c:v>2.4171251134299736E-2</c:v>
              </c:pt>
              <c:pt idx="25">
                <c:v>2.6495934916950733E-2</c:v>
              </c:pt>
              <c:pt idx="26">
                <c:v>2.8937710086750456E-2</c:v>
              </c:pt>
              <c:pt idx="27">
                <c:v>3.1488637523768674E-2</c:v>
              </c:pt>
              <c:pt idx="28">
                <c:v>3.4138809581809544E-2</c:v>
              </c:pt>
              <c:pt idx="29">
                <c:v>3.6876328246732225E-2</c:v>
              </c:pt>
              <c:pt idx="30">
                <c:v>3.9687319392616972E-2</c:v>
              </c:pt>
              <c:pt idx="31">
                <c:v>4.255598584216376E-2</c:v>
              </c:pt>
              <c:pt idx="32">
                <c:v>4.5464701126272107E-2</c:v>
              </c:pt>
              <c:pt idx="33">
                <c:v>4.8394144903828581E-2</c:v>
              </c:pt>
              <c:pt idx="34">
                <c:v>5.1323479968648736E-2</c:v>
              </c:pt>
              <c:pt idx="35">
                <c:v>5.4230569664095535E-2</c:v>
              </c:pt>
              <c:pt idx="36">
                <c:v>5.7092233379680918E-2</c:v>
              </c:pt>
              <c:pt idx="37">
                <c:v>5.9884536654219868E-2</c:v>
              </c:pt>
              <c:pt idx="38">
                <c:v>6.2583111295583846E-2</c:v>
              </c:pt>
              <c:pt idx="39">
                <c:v>6.5163499887537918E-2</c:v>
              </c:pt>
              <c:pt idx="40">
                <c:v>6.7601518128723156E-2</c:v>
              </c:pt>
              <c:pt idx="41">
                <c:v>6.9873627674530814E-2</c:v>
              </c:pt>
              <c:pt idx="42">
                <c:v>7.1957311562524592E-2</c:v>
              </c:pt>
              <c:pt idx="43">
                <c:v>7.3831443923939435E-2</c:v>
              </c:pt>
              <c:pt idx="44">
                <c:v>7.5476645538598577E-2</c:v>
              </c:pt>
              <c:pt idx="45">
                <c:v>7.687561689145174E-2</c:v>
              </c:pt>
              <c:pt idx="46">
                <c:v>7.8013440740257317E-2</c:v>
              </c:pt>
              <c:pt idx="47">
                <c:v>7.8877846800983739E-2</c:v>
              </c:pt>
              <c:pt idx="48">
                <c:v>7.9459431986348347E-2</c:v>
              </c:pt>
              <c:pt idx="49">
                <c:v>7.9751830670748342E-2</c:v>
              </c:pt>
              <c:pt idx="50">
                <c:v>7.9751830670748355E-2</c:v>
              </c:pt>
              <c:pt idx="51">
                <c:v>7.9459431986348361E-2</c:v>
              </c:pt>
              <c:pt idx="52">
                <c:v>7.8877846800983795E-2</c:v>
              </c:pt>
              <c:pt idx="53">
                <c:v>7.8013440740257387E-2</c:v>
              </c:pt>
              <c:pt idx="54">
                <c:v>7.6875616891451837E-2</c:v>
              </c:pt>
              <c:pt idx="55">
                <c:v>7.5476645538598688E-2</c:v>
              </c:pt>
              <c:pt idx="56">
                <c:v>7.3831443923939546E-2</c:v>
              </c:pt>
              <c:pt idx="57">
                <c:v>7.1957311562524731E-2</c:v>
              </c:pt>
              <c:pt idx="58">
                <c:v>6.987362767453098E-2</c:v>
              </c:pt>
              <c:pt idx="59">
                <c:v>6.7601518128723309E-2</c:v>
              </c:pt>
              <c:pt idx="60">
                <c:v>6.5163499887538126E-2</c:v>
              </c:pt>
              <c:pt idx="61">
                <c:v>6.258311129558404E-2</c:v>
              </c:pt>
              <c:pt idx="62">
                <c:v>5.9884536654220062E-2</c:v>
              </c:pt>
              <c:pt idx="63">
                <c:v>5.7092233379681105E-2</c:v>
              </c:pt>
              <c:pt idx="64">
                <c:v>5.4230569664095757E-2</c:v>
              </c:pt>
              <c:pt idx="65">
                <c:v>5.1323479968648937E-2</c:v>
              </c:pt>
              <c:pt idx="66">
                <c:v>4.8394144903828817E-2</c:v>
              </c:pt>
              <c:pt idx="67">
                <c:v>4.5464701126272301E-2</c:v>
              </c:pt>
              <c:pt idx="68">
                <c:v>4.2555985842163982E-2</c:v>
              </c:pt>
              <c:pt idx="69">
                <c:v>3.9687319392617167E-2</c:v>
              </c:pt>
              <c:pt idx="70">
                <c:v>3.687632824673244E-2</c:v>
              </c:pt>
              <c:pt idx="71">
                <c:v>3.4138809581809731E-2</c:v>
              </c:pt>
              <c:pt idx="72">
                <c:v>3.1488637523768875E-2</c:v>
              </c:pt>
              <c:pt idx="73">
                <c:v>2.8937710086750629E-2</c:v>
              </c:pt>
              <c:pt idx="74">
                <c:v>2.649593491695091E-2</c:v>
              </c:pt>
              <c:pt idx="75">
                <c:v>2.4171251134299892E-2</c:v>
              </c:pt>
              <c:pt idx="76">
                <c:v>2.1969683893014146E-2</c:v>
              </c:pt>
              <c:pt idx="77">
                <c:v>1.9895427758549841E-2</c:v>
              </c:pt>
              <c:pt idx="78">
                <c:v>1.7950954628264966E-2</c:v>
              </c:pt>
              <c:pt idx="79">
                <c:v>1.6137141704632822E-2</c:v>
              </c:pt>
              <c:pt idx="80">
                <c:v>1.4453414956466641E-2</c:v>
              </c:pt>
              <c:pt idx="81">
                <c:v>1.2897903564186641E-2</c:v>
              </c:pt>
              <c:pt idx="82">
                <c:v>1.146760102496267E-2</c:v>
              </c:pt>
              <c:pt idx="83">
                <c:v>1.0158528875160888E-2</c:v>
              </c:pt>
              <c:pt idx="84">
                <c:v>8.965899351718612E-3</c:v>
              </c:pt>
              <c:pt idx="85">
                <c:v>7.8842737408057213E-3</c:v>
              </c:pt>
              <c:pt idx="86">
                <c:v>6.90771363134617E-3</c:v>
              </c:pt>
              <c:pt idx="87">
                <c:v>6.0299227833601841E-3</c:v>
              </c:pt>
              <c:pt idx="88">
                <c:v>5.2443778187419446E-3</c:v>
              </c:pt>
              <c:pt idx="89">
                <c:v>4.544446429019129E-3</c:v>
              </c:pt>
              <c:pt idx="90">
                <c:v>3.9234922571495193E-3</c:v>
              </c:pt>
              <c:pt idx="91">
                <c:v>3.3749660373244834E-3</c:v>
              </c:pt>
              <c:pt idx="92">
                <c:v>2.8924829595268651E-3</c:v>
              </c:pt>
              <c:pt idx="93">
                <c:v>2.4698865583042528E-3</c:v>
              </c:pt>
              <c:pt idx="94">
                <c:v>2.1012997044300647E-3</c:v>
              </c:pt>
              <c:pt idx="95">
                <c:v>1.7811635026832291E-3</c:v>
              </c:pt>
              <c:pt idx="96">
                <c:v>1.5042650697418868E-3</c:v>
              </c:pt>
              <c:pt idx="97">
                <c:v>1.2657552857165658E-3</c:v>
              </c:pt>
              <c:pt idx="98">
                <c:v>1.0611576850575346E-3</c:v>
              </c:pt>
              <c:pt idx="99">
                <c:v>8.8636968238761334E-4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1818-4003-A944-1F23C99A8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2633432"/>
        <c:axId val="572633824"/>
      </c:scatterChart>
      <c:valAx>
        <c:axId val="572633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X</a:t>
                </a:r>
              </a:p>
            </c:rich>
          </c:tx>
          <c:layout>
            <c:manualLayout>
              <c:xMode val="edge"/>
              <c:yMode val="edge"/>
              <c:x val="0.96131609274179219"/>
              <c:y val="0.896775548217763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72633824"/>
        <c:crosses val="autoZero"/>
        <c:crossBetween val="midCat"/>
      </c:valAx>
      <c:valAx>
        <c:axId val="572633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72633432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Histogram for binomial probability distribution</a:t>
            </a:r>
          </a:p>
        </c:rich>
      </c:tx>
      <c:layout>
        <c:manualLayout>
          <c:xMode val="edge"/>
          <c:yMode val="edge"/>
          <c:x val="0.20873820384102471"/>
          <c:y val="3.10880829015544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97754060720793"/>
          <c:y val="0.18134715025906736"/>
          <c:w val="0.75566462452060656"/>
          <c:h val="0.6398963730569948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'X3.17'!$C$9</c:f>
              <c:strCache>
                <c:ptCount val="1"/>
                <c:pt idx="0">
                  <c:v>P(X=r)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'X3.17'!$B$10:$B$14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'X3.17'!$C$10:$C$14</c:f>
              <c:numCache>
                <c:formatCode>General</c:formatCode>
                <c:ptCount val="5"/>
                <c:pt idx="0">
                  <c:v>2.5600000000000008E-2</c:v>
                </c:pt>
                <c:pt idx="1">
                  <c:v>0.15360000000000001</c:v>
                </c:pt>
                <c:pt idx="2">
                  <c:v>0.34560000000000002</c:v>
                </c:pt>
                <c:pt idx="3">
                  <c:v>0.34559999999999991</c:v>
                </c:pt>
                <c:pt idx="4">
                  <c:v>0.12959999999999999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05-4613-B94A-9D4C5FD92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73853496"/>
        <c:axId val="573853888"/>
      </c:barChart>
      <c:catAx>
        <c:axId val="573853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X</a:t>
                </a:r>
              </a:p>
            </c:rich>
          </c:tx>
          <c:layout>
            <c:manualLayout>
              <c:xMode val="edge"/>
              <c:yMode val="edge"/>
              <c:x val="0.50917072259171481"/>
              <c:y val="0.904122128539242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385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38538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P(X=r)</a:t>
                </a:r>
              </a:p>
            </c:rich>
          </c:tx>
          <c:layout>
            <c:manualLayout>
              <c:xMode val="edge"/>
              <c:yMode val="edge"/>
              <c:x val="2.5889967637540454E-2"/>
              <c:y val="0.445595854922279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385349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21</xdr:row>
      <xdr:rowOff>66675</xdr:rowOff>
    </xdr:from>
    <xdr:to>
      <xdr:col>16</xdr:col>
      <xdr:colOff>76200</xdr:colOff>
      <xdr:row>39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</xdr:colOff>
      <xdr:row>41</xdr:row>
      <xdr:rowOff>19050</xdr:rowOff>
    </xdr:from>
    <xdr:to>
      <xdr:col>16</xdr:col>
      <xdr:colOff>123825</xdr:colOff>
      <xdr:row>59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104775</xdr:colOff>
      <xdr:row>61</xdr:row>
      <xdr:rowOff>28575</xdr:rowOff>
    </xdr:from>
    <xdr:to>
      <xdr:col>16</xdr:col>
      <xdr:colOff>190500</xdr:colOff>
      <xdr:row>79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161925</xdr:colOff>
      <xdr:row>81</xdr:row>
      <xdr:rowOff>19050</xdr:rowOff>
    </xdr:from>
    <xdr:to>
      <xdr:col>16</xdr:col>
      <xdr:colOff>247650</xdr:colOff>
      <xdr:row>99</xdr:row>
      <xdr:rowOff>47625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15</xdr:col>
      <xdr:colOff>38100</xdr:colOff>
      <xdr:row>20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37</xdr:row>
      <xdr:rowOff>152400</xdr:rowOff>
    </xdr:from>
    <xdr:to>
      <xdr:col>11</xdr:col>
      <xdr:colOff>485775</xdr:colOff>
      <xdr:row>39</xdr:row>
      <xdr:rowOff>47625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7073265" y="6355080"/>
          <a:ext cx="285750" cy="230505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100</a:t>
          </a:r>
        </a:p>
      </xdr:txBody>
    </xdr:sp>
    <xdr:clientData/>
  </xdr:twoCellAnchor>
  <xdr:twoCellAnchor>
    <xdr:from>
      <xdr:col>11</xdr:col>
      <xdr:colOff>276225</xdr:colOff>
      <xdr:row>57</xdr:row>
      <xdr:rowOff>133350</xdr:rowOff>
    </xdr:from>
    <xdr:to>
      <xdr:col>11</xdr:col>
      <xdr:colOff>561975</xdr:colOff>
      <xdr:row>59</xdr:row>
      <xdr:rowOff>57150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7149465" y="9688830"/>
          <a:ext cx="285750" cy="25908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100</a:t>
          </a:r>
        </a:p>
      </xdr:txBody>
    </xdr:sp>
    <xdr:clientData/>
  </xdr:twoCellAnchor>
  <xdr:twoCellAnchor>
    <xdr:from>
      <xdr:col>11</xdr:col>
      <xdr:colOff>266700</xdr:colOff>
      <xdr:row>77</xdr:row>
      <xdr:rowOff>133350</xdr:rowOff>
    </xdr:from>
    <xdr:to>
      <xdr:col>11</xdr:col>
      <xdr:colOff>552450</xdr:colOff>
      <xdr:row>79</xdr:row>
      <xdr:rowOff>57150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7139940" y="13041630"/>
          <a:ext cx="285750" cy="25908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100</a:t>
          </a:r>
        </a:p>
      </xdr:txBody>
    </xdr:sp>
    <xdr:clientData/>
  </xdr:twoCellAnchor>
  <xdr:twoCellAnchor>
    <xdr:from>
      <xdr:col>11</xdr:col>
      <xdr:colOff>409575</xdr:colOff>
      <xdr:row>97</xdr:row>
      <xdr:rowOff>152400</xdr:rowOff>
    </xdr:from>
    <xdr:to>
      <xdr:col>12</xdr:col>
      <xdr:colOff>85725</xdr:colOff>
      <xdr:row>99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7282815" y="16413480"/>
          <a:ext cx="300990" cy="230505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100</a:t>
          </a:r>
        </a:p>
      </xdr:txBody>
    </xdr:sp>
    <xdr:clientData/>
  </xdr:twoCellAnchor>
  <xdr:twoCellAnchor>
    <xdr:from>
      <xdr:col>10</xdr:col>
      <xdr:colOff>476250</xdr:colOff>
      <xdr:row>28</xdr:row>
      <xdr:rowOff>38100</xdr:rowOff>
    </xdr:from>
    <xdr:to>
      <xdr:col>10</xdr:col>
      <xdr:colOff>495300</xdr:colOff>
      <xdr:row>37</xdr:row>
      <xdr:rowOff>19050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ShapeType="1"/>
        </xdr:cNvSpPr>
      </xdr:nvSpPr>
      <xdr:spPr bwMode="auto">
        <a:xfrm flipV="1">
          <a:off x="6724650" y="4732020"/>
          <a:ext cx="19050" cy="14897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171450</xdr:colOff>
      <xdr:row>47</xdr:row>
      <xdr:rowOff>66675</xdr:rowOff>
    </xdr:from>
    <xdr:to>
      <xdr:col>12</xdr:col>
      <xdr:colOff>171450</xdr:colOff>
      <xdr:row>57</xdr:row>
      <xdr:rowOff>19050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ShapeType="1"/>
        </xdr:cNvSpPr>
      </xdr:nvSpPr>
      <xdr:spPr bwMode="auto">
        <a:xfrm flipV="1">
          <a:off x="7669530" y="7945755"/>
          <a:ext cx="0" cy="1628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600075</xdr:colOff>
      <xdr:row>47</xdr:row>
      <xdr:rowOff>47625</xdr:rowOff>
    </xdr:from>
    <xdr:to>
      <xdr:col>11</xdr:col>
      <xdr:colOff>19050</xdr:colOff>
      <xdr:row>57</xdr:row>
      <xdr:rowOff>38100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ShapeType="1"/>
        </xdr:cNvSpPr>
      </xdr:nvSpPr>
      <xdr:spPr bwMode="auto">
        <a:xfrm flipV="1">
          <a:off x="6848475" y="7926705"/>
          <a:ext cx="43815" cy="1666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238125</xdr:colOff>
      <xdr:row>67</xdr:row>
      <xdr:rowOff>66675</xdr:rowOff>
    </xdr:from>
    <xdr:to>
      <xdr:col>12</xdr:col>
      <xdr:colOff>247650</xdr:colOff>
      <xdr:row>77</xdr:row>
      <xdr:rowOff>19050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ShapeType="1"/>
        </xdr:cNvSpPr>
      </xdr:nvSpPr>
      <xdr:spPr bwMode="auto">
        <a:xfrm flipH="1" flipV="1">
          <a:off x="7736205" y="11298555"/>
          <a:ext cx="9525" cy="1628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600075</xdr:colOff>
      <xdr:row>76</xdr:row>
      <xdr:rowOff>19050</xdr:rowOff>
    </xdr:from>
    <xdr:to>
      <xdr:col>13</xdr:col>
      <xdr:colOff>600075</xdr:colOff>
      <xdr:row>76</xdr:row>
      <xdr:rowOff>180975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ShapeType="1"/>
        </xdr:cNvSpPr>
      </xdr:nvSpPr>
      <xdr:spPr bwMode="auto">
        <a:xfrm flipV="1">
          <a:off x="8722995" y="12759690"/>
          <a:ext cx="0" cy="1466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352425</xdr:colOff>
      <xdr:row>85</xdr:row>
      <xdr:rowOff>133349</xdr:rowOff>
    </xdr:from>
    <xdr:to>
      <xdr:col>11</xdr:col>
      <xdr:colOff>352425</xdr:colOff>
      <xdr:row>97</xdr:row>
      <xdr:rowOff>9524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ShapeType="1"/>
        </xdr:cNvSpPr>
      </xdr:nvSpPr>
      <xdr:spPr bwMode="auto">
        <a:xfrm flipV="1">
          <a:off x="7225665" y="14382749"/>
          <a:ext cx="0" cy="18878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485775</xdr:colOff>
      <xdr:row>89</xdr:row>
      <xdr:rowOff>152400</xdr:rowOff>
    </xdr:from>
    <xdr:to>
      <xdr:col>10</xdr:col>
      <xdr:colOff>485775</xdr:colOff>
      <xdr:row>97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ShapeType="1"/>
        </xdr:cNvSpPr>
      </xdr:nvSpPr>
      <xdr:spPr bwMode="auto">
        <a:xfrm flipV="1">
          <a:off x="6734175" y="15072360"/>
          <a:ext cx="0" cy="11887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33</xdr:row>
      <xdr:rowOff>123825</xdr:rowOff>
    </xdr:from>
    <xdr:to>
      <xdr:col>10</xdr:col>
      <xdr:colOff>466725</xdr:colOff>
      <xdr:row>34</xdr:row>
      <xdr:rowOff>142875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ShapeType="1"/>
        </xdr:cNvSpPr>
      </xdr:nvSpPr>
      <xdr:spPr bwMode="auto">
        <a:xfrm flipH="1">
          <a:off x="6042660" y="5655945"/>
          <a:ext cx="672465" cy="1866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180975</xdr:colOff>
      <xdr:row>35</xdr:row>
      <xdr:rowOff>38100</xdr:rowOff>
    </xdr:from>
    <xdr:to>
      <xdr:col>10</xdr:col>
      <xdr:colOff>419100</xdr:colOff>
      <xdr:row>36</xdr:row>
      <xdr:rowOff>171450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ShapeType="1"/>
        </xdr:cNvSpPr>
      </xdr:nvSpPr>
      <xdr:spPr bwMode="auto">
        <a:xfrm flipH="1">
          <a:off x="5804535" y="5905500"/>
          <a:ext cx="862965" cy="2933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38100</xdr:colOff>
      <xdr:row>31</xdr:row>
      <xdr:rowOff>142875</xdr:rowOff>
    </xdr:from>
    <xdr:to>
      <xdr:col>10</xdr:col>
      <xdr:colOff>495300</xdr:colOff>
      <xdr:row>32</xdr:row>
      <xdr:rowOff>142875</xdr:rowOff>
    </xdr:to>
    <xdr:sp macro="" textlink="">
      <xdr:nvSpPr>
        <xdr:cNvPr id="20" name="Line 20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ShapeType="1"/>
        </xdr:cNvSpPr>
      </xdr:nvSpPr>
      <xdr:spPr bwMode="auto">
        <a:xfrm flipH="1">
          <a:off x="6286500" y="5339715"/>
          <a:ext cx="45720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57150</xdr:colOff>
      <xdr:row>46</xdr:row>
      <xdr:rowOff>47625</xdr:rowOff>
    </xdr:from>
    <xdr:to>
      <xdr:col>11</xdr:col>
      <xdr:colOff>590550</xdr:colOff>
      <xdr:row>48</xdr:row>
      <xdr:rowOff>76200</xdr:rowOff>
    </xdr:to>
    <xdr:sp macro="" textlink="">
      <xdr:nvSpPr>
        <xdr:cNvPr id="21" name="Line 2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ShapeType="1"/>
        </xdr:cNvSpPr>
      </xdr:nvSpPr>
      <xdr:spPr bwMode="auto">
        <a:xfrm flipH="1">
          <a:off x="6930390" y="7759065"/>
          <a:ext cx="533400" cy="3638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66675</xdr:colOff>
      <xdr:row>49</xdr:row>
      <xdr:rowOff>123825</xdr:rowOff>
    </xdr:from>
    <xdr:to>
      <xdr:col>12</xdr:col>
      <xdr:colOff>123825</xdr:colOff>
      <xdr:row>52</xdr:row>
      <xdr:rowOff>85725</xdr:rowOff>
    </xdr:to>
    <xdr:sp macro="" textlink="">
      <xdr:nvSpPr>
        <xdr:cNvPr id="22" name="Line 22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ShapeType="1"/>
        </xdr:cNvSpPr>
      </xdr:nvSpPr>
      <xdr:spPr bwMode="auto">
        <a:xfrm flipH="1">
          <a:off x="6939915" y="8338185"/>
          <a:ext cx="681990" cy="4648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85725</xdr:colOff>
      <xdr:row>53</xdr:row>
      <xdr:rowOff>142875</xdr:rowOff>
    </xdr:from>
    <xdr:to>
      <xdr:col>12</xdr:col>
      <xdr:colOff>152400</xdr:colOff>
      <xdr:row>56</xdr:row>
      <xdr:rowOff>66675</xdr:rowOff>
    </xdr:to>
    <xdr:sp macro="" textlink="">
      <xdr:nvSpPr>
        <xdr:cNvPr id="23" name="Line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ShapeType="1"/>
        </xdr:cNvSpPr>
      </xdr:nvSpPr>
      <xdr:spPr bwMode="auto">
        <a:xfrm flipH="1">
          <a:off x="6958965" y="9027795"/>
          <a:ext cx="691515" cy="4267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409575</xdr:colOff>
      <xdr:row>55</xdr:row>
      <xdr:rowOff>171450</xdr:rowOff>
    </xdr:from>
    <xdr:to>
      <xdr:col>12</xdr:col>
      <xdr:colOff>76200</xdr:colOff>
      <xdr:row>56</xdr:row>
      <xdr:rowOff>180975</xdr:rowOff>
    </xdr:to>
    <xdr:sp macro="" textlink="">
      <xdr:nvSpPr>
        <xdr:cNvPr id="24" name="Line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ShapeType="1"/>
        </xdr:cNvSpPr>
      </xdr:nvSpPr>
      <xdr:spPr bwMode="auto">
        <a:xfrm flipH="1">
          <a:off x="7282815" y="9384030"/>
          <a:ext cx="291465" cy="1695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276225</xdr:colOff>
      <xdr:row>70</xdr:row>
      <xdr:rowOff>114300</xdr:rowOff>
    </xdr:from>
    <xdr:to>
      <xdr:col>12</xdr:col>
      <xdr:colOff>504825</xdr:colOff>
      <xdr:row>71</xdr:row>
      <xdr:rowOff>152400</xdr:rowOff>
    </xdr:to>
    <xdr:sp macro="" textlink="">
      <xdr:nvSpPr>
        <xdr:cNvPr id="25" name="Line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ShapeType="1"/>
        </xdr:cNvSpPr>
      </xdr:nvSpPr>
      <xdr:spPr bwMode="auto">
        <a:xfrm flipH="1">
          <a:off x="7774305" y="11849100"/>
          <a:ext cx="22860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381000</xdr:colOff>
      <xdr:row>74</xdr:row>
      <xdr:rowOff>123825</xdr:rowOff>
    </xdr:from>
    <xdr:to>
      <xdr:col>13</xdr:col>
      <xdr:colOff>209550</xdr:colOff>
      <xdr:row>76</xdr:row>
      <xdr:rowOff>104775</xdr:rowOff>
    </xdr:to>
    <xdr:sp macro="" textlink="">
      <xdr:nvSpPr>
        <xdr:cNvPr id="26" name="Line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ShapeType="1"/>
        </xdr:cNvSpPr>
      </xdr:nvSpPr>
      <xdr:spPr bwMode="auto">
        <a:xfrm flipH="1">
          <a:off x="7879080" y="12529185"/>
          <a:ext cx="453390" cy="3162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152399</xdr:colOff>
      <xdr:row>75</xdr:row>
      <xdr:rowOff>123825</xdr:rowOff>
    </xdr:from>
    <xdr:to>
      <xdr:col>13</xdr:col>
      <xdr:colOff>457199</xdr:colOff>
      <xdr:row>77</xdr:row>
      <xdr:rowOff>19050</xdr:rowOff>
    </xdr:to>
    <xdr:sp macro="" textlink="">
      <xdr:nvSpPr>
        <xdr:cNvPr id="27" name="Line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ShapeType="1"/>
        </xdr:cNvSpPr>
      </xdr:nvSpPr>
      <xdr:spPr bwMode="auto">
        <a:xfrm flipH="1">
          <a:off x="8275319" y="12696825"/>
          <a:ext cx="304800" cy="2305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504824</xdr:colOff>
      <xdr:row>87</xdr:row>
      <xdr:rowOff>9524</xdr:rowOff>
    </xdr:from>
    <xdr:to>
      <xdr:col>11</xdr:col>
      <xdr:colOff>476249</xdr:colOff>
      <xdr:row>90</xdr:row>
      <xdr:rowOff>76199</xdr:rowOff>
    </xdr:to>
    <xdr:sp macro="" textlink="">
      <xdr:nvSpPr>
        <xdr:cNvPr id="28" name="Line 29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ShapeType="1"/>
        </xdr:cNvSpPr>
      </xdr:nvSpPr>
      <xdr:spPr bwMode="auto">
        <a:xfrm flipH="1">
          <a:off x="6753224" y="14594204"/>
          <a:ext cx="596265" cy="5695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495299</xdr:colOff>
      <xdr:row>93</xdr:row>
      <xdr:rowOff>0</xdr:rowOff>
    </xdr:from>
    <xdr:to>
      <xdr:col>11</xdr:col>
      <xdr:colOff>514349</xdr:colOff>
      <xdr:row>95</xdr:row>
      <xdr:rowOff>76200</xdr:rowOff>
    </xdr:to>
    <xdr:sp macro="" textlink="">
      <xdr:nvSpPr>
        <xdr:cNvPr id="29" name="Line 30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ShapeType="1"/>
        </xdr:cNvSpPr>
      </xdr:nvSpPr>
      <xdr:spPr bwMode="auto">
        <a:xfrm flipH="1">
          <a:off x="6743699" y="15590520"/>
          <a:ext cx="643890" cy="4114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409575</xdr:colOff>
      <xdr:row>37</xdr:row>
      <xdr:rowOff>152400</xdr:rowOff>
    </xdr:from>
    <xdr:to>
      <xdr:col>11</xdr:col>
      <xdr:colOff>38100</xdr:colOff>
      <xdr:row>39</xdr:row>
      <xdr:rowOff>47625</xdr:rowOff>
    </xdr:to>
    <xdr:sp macro="" textlink="">
      <xdr:nvSpPr>
        <xdr:cNvPr id="30" name="Text Box 32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 bwMode="auto">
        <a:xfrm>
          <a:off x="6657975" y="6355080"/>
          <a:ext cx="253365" cy="230505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xdr:txBody>
    </xdr:sp>
    <xdr:clientData/>
  </xdr:twoCellAnchor>
  <xdr:twoCellAnchor>
    <xdr:from>
      <xdr:col>10</xdr:col>
      <xdr:colOff>476250</xdr:colOff>
      <xdr:row>57</xdr:row>
      <xdr:rowOff>123825</xdr:rowOff>
    </xdr:from>
    <xdr:to>
      <xdr:col>11</xdr:col>
      <xdr:colOff>104775</xdr:colOff>
      <xdr:row>59</xdr:row>
      <xdr:rowOff>19050</xdr:rowOff>
    </xdr:to>
    <xdr:sp macro="" textlink="">
      <xdr:nvSpPr>
        <xdr:cNvPr id="31" name="Text Box 33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 bwMode="auto">
        <a:xfrm>
          <a:off x="6724650" y="9679305"/>
          <a:ext cx="253365" cy="230505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xdr:txBody>
    </xdr:sp>
    <xdr:clientData/>
  </xdr:twoCellAnchor>
  <xdr:twoCellAnchor>
    <xdr:from>
      <xdr:col>12</xdr:col>
      <xdr:colOff>28575</xdr:colOff>
      <xdr:row>57</xdr:row>
      <xdr:rowOff>123825</xdr:rowOff>
    </xdr:from>
    <xdr:to>
      <xdr:col>12</xdr:col>
      <xdr:colOff>314325</xdr:colOff>
      <xdr:row>59</xdr:row>
      <xdr:rowOff>19050</xdr:rowOff>
    </xdr:to>
    <xdr:sp macro="" textlink="">
      <xdr:nvSpPr>
        <xdr:cNvPr id="32" name="Text Box 34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 bwMode="auto">
        <a:xfrm>
          <a:off x="7526655" y="9679305"/>
          <a:ext cx="285750" cy="230505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105</a:t>
          </a:r>
        </a:p>
      </xdr:txBody>
    </xdr:sp>
    <xdr:clientData/>
  </xdr:twoCellAnchor>
  <xdr:twoCellAnchor>
    <xdr:from>
      <xdr:col>12</xdr:col>
      <xdr:colOff>66675</xdr:colOff>
      <xdr:row>77</xdr:row>
      <xdr:rowOff>171450</xdr:rowOff>
    </xdr:from>
    <xdr:to>
      <xdr:col>12</xdr:col>
      <xdr:colOff>352425</xdr:colOff>
      <xdr:row>79</xdr:row>
      <xdr:rowOff>66675</xdr:rowOff>
    </xdr:to>
    <xdr:sp macro="" textlink="">
      <xdr:nvSpPr>
        <xdr:cNvPr id="33" name="Text Box 35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 bwMode="auto">
        <a:xfrm>
          <a:off x="7564755" y="13072110"/>
          <a:ext cx="285750" cy="238125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105</a:t>
          </a:r>
        </a:p>
      </xdr:txBody>
    </xdr:sp>
    <xdr:clientData/>
  </xdr:twoCellAnchor>
  <xdr:twoCellAnchor>
    <xdr:from>
      <xdr:col>13</xdr:col>
      <xdr:colOff>447675</xdr:colOff>
      <xdr:row>77</xdr:row>
      <xdr:rowOff>66675</xdr:rowOff>
    </xdr:from>
    <xdr:to>
      <xdr:col>14</xdr:col>
      <xdr:colOff>123825</xdr:colOff>
      <xdr:row>78</xdr:row>
      <xdr:rowOff>152400</xdr:rowOff>
    </xdr:to>
    <xdr:sp macro="" textlink="">
      <xdr:nvSpPr>
        <xdr:cNvPr id="34" name="Text Box 36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 bwMode="auto">
        <a:xfrm>
          <a:off x="8570595" y="12974955"/>
          <a:ext cx="300990" cy="253365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115</a:t>
          </a:r>
        </a:p>
      </xdr:txBody>
    </xdr:sp>
    <xdr:clientData/>
  </xdr:twoCellAnchor>
  <xdr:twoCellAnchor>
    <xdr:from>
      <xdr:col>10</xdr:col>
      <xdr:colOff>428625</xdr:colOff>
      <xdr:row>97</xdr:row>
      <xdr:rowOff>161925</xdr:rowOff>
    </xdr:from>
    <xdr:to>
      <xdr:col>11</xdr:col>
      <xdr:colOff>9525</xdr:colOff>
      <xdr:row>99</xdr:row>
      <xdr:rowOff>85725</xdr:rowOff>
    </xdr:to>
    <xdr:sp macro="" textlink="">
      <xdr:nvSpPr>
        <xdr:cNvPr id="35" name="Text Box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 bwMode="auto">
        <a:xfrm>
          <a:off x="6677025" y="16423005"/>
          <a:ext cx="205740" cy="25908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93</a:t>
          </a:r>
        </a:p>
      </xdr:txBody>
    </xdr:sp>
    <xdr:clientData/>
  </xdr:twoCellAnchor>
  <xdr:twoCellAnchor>
    <xdr:from>
      <xdr:col>11</xdr:col>
      <xdr:colOff>200025</xdr:colOff>
      <xdr:row>97</xdr:row>
      <xdr:rowOff>152400</xdr:rowOff>
    </xdr:from>
    <xdr:to>
      <xdr:col>11</xdr:col>
      <xdr:colOff>419100</xdr:colOff>
      <xdr:row>99</xdr:row>
      <xdr:rowOff>47625</xdr:rowOff>
    </xdr:to>
    <xdr:sp macro="" textlink="">
      <xdr:nvSpPr>
        <xdr:cNvPr id="36" name="Text Box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 bwMode="auto">
        <a:xfrm>
          <a:off x="7073265" y="16413480"/>
          <a:ext cx="219075" cy="230505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99</a:t>
          </a:r>
        </a:p>
      </xdr:txBody>
    </xdr:sp>
    <xdr:clientData/>
  </xdr:twoCellAnchor>
  <xdr:twoCellAnchor>
    <xdr:from>
      <xdr:col>11</xdr:col>
      <xdr:colOff>47624</xdr:colOff>
      <xdr:row>95</xdr:row>
      <xdr:rowOff>123825</xdr:rowOff>
    </xdr:from>
    <xdr:to>
      <xdr:col>11</xdr:col>
      <xdr:colOff>514349</xdr:colOff>
      <xdr:row>97</xdr:row>
      <xdr:rowOff>9525</xdr:rowOff>
    </xdr:to>
    <xdr:sp macro="" textlink="">
      <xdr:nvSpPr>
        <xdr:cNvPr id="37" name="Line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ShapeType="1"/>
        </xdr:cNvSpPr>
      </xdr:nvSpPr>
      <xdr:spPr bwMode="auto">
        <a:xfrm flipH="1">
          <a:off x="6920864" y="16049625"/>
          <a:ext cx="466725" cy="2209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466724</xdr:colOff>
      <xdr:row>89</xdr:row>
      <xdr:rowOff>171450</xdr:rowOff>
    </xdr:from>
    <xdr:to>
      <xdr:col>11</xdr:col>
      <xdr:colOff>485775</xdr:colOff>
      <xdr:row>92</xdr:row>
      <xdr:rowOff>180975</xdr:rowOff>
    </xdr:to>
    <xdr:sp macro="" textlink="">
      <xdr:nvSpPr>
        <xdr:cNvPr id="38" name="Line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ShapeType="1"/>
        </xdr:cNvSpPr>
      </xdr:nvSpPr>
      <xdr:spPr bwMode="auto">
        <a:xfrm flipH="1">
          <a:off x="6715124" y="15083790"/>
          <a:ext cx="643891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352425</xdr:colOff>
      <xdr:row>72</xdr:row>
      <xdr:rowOff>95249</xdr:rowOff>
    </xdr:from>
    <xdr:to>
      <xdr:col>13</xdr:col>
      <xdr:colOff>9525</xdr:colOff>
      <xdr:row>73</xdr:row>
      <xdr:rowOff>161924</xdr:rowOff>
    </xdr:to>
    <xdr:sp macro="" textlink="">
      <xdr:nvSpPr>
        <xdr:cNvPr id="39" name="Line 42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ShapeType="1"/>
        </xdr:cNvSpPr>
      </xdr:nvSpPr>
      <xdr:spPr bwMode="auto">
        <a:xfrm flipH="1">
          <a:off x="7850505" y="12165329"/>
          <a:ext cx="281940" cy="23431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47625</xdr:colOff>
      <xdr:row>52</xdr:row>
      <xdr:rowOff>38100</xdr:rowOff>
    </xdr:from>
    <xdr:to>
      <xdr:col>12</xdr:col>
      <xdr:colOff>104775</xdr:colOff>
      <xdr:row>54</xdr:row>
      <xdr:rowOff>114300</xdr:rowOff>
    </xdr:to>
    <xdr:sp macro="" textlink="">
      <xdr:nvSpPr>
        <xdr:cNvPr id="40" name="Line 43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ShapeType="1"/>
        </xdr:cNvSpPr>
      </xdr:nvSpPr>
      <xdr:spPr bwMode="auto">
        <a:xfrm flipH="1">
          <a:off x="6920865" y="8755380"/>
          <a:ext cx="681990" cy="4114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66675</xdr:colOff>
      <xdr:row>47</xdr:row>
      <xdr:rowOff>171450</xdr:rowOff>
    </xdr:from>
    <xdr:to>
      <xdr:col>12</xdr:col>
      <xdr:colOff>66675</xdr:colOff>
      <xdr:row>50</xdr:row>
      <xdr:rowOff>19050</xdr:rowOff>
    </xdr:to>
    <xdr:sp macro="" textlink="">
      <xdr:nvSpPr>
        <xdr:cNvPr id="41" name="Line 44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ShapeType="1"/>
        </xdr:cNvSpPr>
      </xdr:nvSpPr>
      <xdr:spPr bwMode="auto">
        <a:xfrm flipH="1">
          <a:off x="6939915" y="8042910"/>
          <a:ext cx="624840" cy="3581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428625</xdr:colOff>
      <xdr:row>3</xdr:row>
      <xdr:rowOff>171450</xdr:rowOff>
    </xdr:from>
    <xdr:to>
      <xdr:col>11</xdr:col>
      <xdr:colOff>238125</xdr:colOff>
      <xdr:row>5</xdr:row>
      <xdr:rowOff>133350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/>
      </xdr:nvSpPr>
      <xdr:spPr>
        <a:xfrm>
          <a:off x="6677025" y="666750"/>
          <a:ext cx="43434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f(x)</a:t>
          </a:r>
        </a:p>
      </xdr:txBody>
    </xdr:sp>
    <xdr:clientData/>
  </xdr:twoCellAnchor>
  <xdr:twoCellAnchor>
    <xdr:from>
      <xdr:col>11</xdr:col>
      <xdr:colOff>180975</xdr:colOff>
      <xdr:row>23</xdr:row>
      <xdr:rowOff>47625</xdr:rowOff>
    </xdr:from>
    <xdr:to>
      <xdr:col>11</xdr:col>
      <xdr:colOff>600075</xdr:colOff>
      <xdr:row>25</xdr:row>
      <xdr:rowOff>9525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7054215" y="3903345"/>
          <a:ext cx="419100" cy="2971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f(x)</a:t>
          </a:r>
        </a:p>
      </xdr:txBody>
    </xdr:sp>
    <xdr:clientData/>
  </xdr:twoCellAnchor>
  <xdr:twoCellAnchor>
    <xdr:from>
      <xdr:col>11</xdr:col>
      <xdr:colOff>238125</xdr:colOff>
      <xdr:row>43</xdr:row>
      <xdr:rowOff>0</xdr:rowOff>
    </xdr:from>
    <xdr:to>
      <xdr:col>12</xdr:col>
      <xdr:colOff>47625</xdr:colOff>
      <xdr:row>44</xdr:row>
      <xdr:rowOff>152400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/>
      </xdr:nvSpPr>
      <xdr:spPr>
        <a:xfrm>
          <a:off x="7111365" y="7208520"/>
          <a:ext cx="434340" cy="3200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f(x)</a:t>
          </a:r>
        </a:p>
      </xdr:txBody>
    </xdr:sp>
    <xdr:clientData/>
  </xdr:twoCellAnchor>
  <xdr:twoCellAnchor>
    <xdr:from>
      <xdr:col>11</xdr:col>
      <xdr:colOff>323850</xdr:colOff>
      <xdr:row>63</xdr:row>
      <xdr:rowOff>9525</xdr:rowOff>
    </xdr:from>
    <xdr:to>
      <xdr:col>12</xdr:col>
      <xdr:colOff>133350</xdr:colOff>
      <xdr:row>64</xdr:row>
      <xdr:rowOff>161925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/>
      </xdr:nvSpPr>
      <xdr:spPr>
        <a:xfrm>
          <a:off x="7197090" y="10570845"/>
          <a:ext cx="434340" cy="3200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f(x)</a:t>
          </a:r>
        </a:p>
      </xdr:txBody>
    </xdr:sp>
    <xdr:clientData/>
  </xdr:twoCellAnchor>
  <xdr:twoCellAnchor>
    <xdr:from>
      <xdr:col>11</xdr:col>
      <xdr:colOff>304800</xdr:colOff>
      <xdr:row>82</xdr:row>
      <xdr:rowOff>123825</xdr:rowOff>
    </xdr:from>
    <xdr:to>
      <xdr:col>12</xdr:col>
      <xdr:colOff>114300</xdr:colOff>
      <xdr:row>84</xdr:row>
      <xdr:rowOff>85725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/>
      </xdr:nvSpPr>
      <xdr:spPr>
        <a:xfrm>
          <a:off x="7178040" y="13870305"/>
          <a:ext cx="434340" cy="2971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f(x)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504825</xdr:colOff>
      <xdr:row>22</xdr:row>
      <xdr:rowOff>142875</xdr:rowOff>
    </xdr:from>
    <xdr:to>
      <xdr:col>15</xdr:col>
      <xdr:colOff>552450</xdr:colOff>
      <xdr:row>41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39</xdr:row>
      <xdr:rowOff>85725</xdr:rowOff>
    </xdr:from>
    <xdr:to>
      <xdr:col>11</xdr:col>
      <xdr:colOff>304800</xdr:colOff>
      <xdr:row>41</xdr:row>
      <xdr:rowOff>9525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 bwMode="auto">
        <a:xfrm>
          <a:off x="6882765" y="6623685"/>
          <a:ext cx="295275" cy="25908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498</a:t>
          </a:r>
        </a:p>
      </xdr:txBody>
    </xdr:sp>
    <xdr:clientData/>
  </xdr:twoCellAnchor>
  <xdr:twoCellAnchor>
    <xdr:from>
      <xdr:col>11</xdr:col>
      <xdr:colOff>390525</xdr:colOff>
      <xdr:row>39</xdr:row>
      <xdr:rowOff>47625</xdr:rowOff>
    </xdr:from>
    <xdr:to>
      <xdr:col>12</xdr:col>
      <xdr:colOff>76200</xdr:colOff>
      <xdr:row>40</xdr:row>
      <xdr:rowOff>133350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>
          <a:spLocks noChangeArrowheads="1"/>
        </xdr:cNvSpPr>
      </xdr:nvSpPr>
      <xdr:spPr bwMode="auto">
        <a:xfrm>
          <a:off x="7263765" y="6585585"/>
          <a:ext cx="310515" cy="253365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501</a:t>
          </a:r>
        </a:p>
      </xdr:txBody>
    </xdr:sp>
    <xdr:clientData/>
  </xdr:twoCellAnchor>
  <xdr:twoCellAnchor>
    <xdr:from>
      <xdr:col>12</xdr:col>
      <xdr:colOff>419100</xdr:colOff>
      <xdr:row>39</xdr:row>
      <xdr:rowOff>76200</xdr:rowOff>
    </xdr:from>
    <xdr:to>
      <xdr:col>13</xdr:col>
      <xdr:colOff>104775</xdr:colOff>
      <xdr:row>41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>
          <a:spLocks noChangeArrowheads="1"/>
        </xdr:cNvSpPr>
      </xdr:nvSpPr>
      <xdr:spPr bwMode="auto">
        <a:xfrm>
          <a:off x="7917180" y="6614160"/>
          <a:ext cx="310515" cy="25908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508</a:t>
          </a:r>
        </a:p>
      </xdr:txBody>
    </xdr:sp>
    <xdr:clientData/>
  </xdr:twoCellAnchor>
  <xdr:twoCellAnchor>
    <xdr:from>
      <xdr:col>11</xdr:col>
      <xdr:colOff>161925</xdr:colOff>
      <xdr:row>29</xdr:row>
      <xdr:rowOff>85725</xdr:rowOff>
    </xdr:from>
    <xdr:to>
      <xdr:col>11</xdr:col>
      <xdr:colOff>161925</xdr:colOff>
      <xdr:row>38</xdr:row>
      <xdr:rowOff>152400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>
          <a:spLocks noChangeShapeType="1"/>
        </xdr:cNvSpPr>
      </xdr:nvSpPr>
      <xdr:spPr bwMode="auto">
        <a:xfrm flipV="1">
          <a:off x="7035165" y="4947285"/>
          <a:ext cx="0" cy="15754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485775</xdr:colOff>
      <xdr:row>31</xdr:row>
      <xdr:rowOff>104775</xdr:rowOff>
    </xdr:from>
    <xdr:to>
      <xdr:col>12</xdr:col>
      <xdr:colOff>485775</xdr:colOff>
      <xdr:row>39</xdr:row>
      <xdr:rowOff>9525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>
          <a:spLocks noChangeShapeType="1"/>
        </xdr:cNvSpPr>
      </xdr:nvSpPr>
      <xdr:spPr bwMode="auto">
        <a:xfrm flipV="1">
          <a:off x="7983855" y="5301615"/>
          <a:ext cx="0" cy="12458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104774</xdr:colOff>
      <xdr:row>37</xdr:row>
      <xdr:rowOff>171450</xdr:rowOff>
    </xdr:from>
    <xdr:to>
      <xdr:col>13</xdr:col>
      <xdr:colOff>581025</xdr:colOff>
      <xdr:row>38</xdr:row>
      <xdr:rowOff>171449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>
          <a:spLocks noChangeShapeType="1"/>
        </xdr:cNvSpPr>
      </xdr:nvSpPr>
      <xdr:spPr bwMode="auto">
        <a:xfrm flipV="1">
          <a:off x="8227694" y="6366510"/>
          <a:ext cx="476251" cy="17525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85725</xdr:colOff>
      <xdr:row>37</xdr:row>
      <xdr:rowOff>28575</xdr:rowOff>
    </xdr:from>
    <xdr:to>
      <xdr:col>11</xdr:col>
      <xdr:colOff>104775</xdr:colOff>
      <xdr:row>38</xdr:row>
      <xdr:rowOff>95251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>
          <a:spLocks noChangeShapeType="1"/>
        </xdr:cNvSpPr>
      </xdr:nvSpPr>
      <xdr:spPr bwMode="auto">
        <a:xfrm>
          <a:off x="6334125" y="6231255"/>
          <a:ext cx="643890" cy="23431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533400</xdr:colOff>
      <xdr:row>32</xdr:row>
      <xdr:rowOff>180975</xdr:rowOff>
    </xdr:from>
    <xdr:to>
      <xdr:col>11</xdr:col>
      <xdr:colOff>171450</xdr:colOff>
      <xdr:row>33</xdr:row>
      <xdr:rowOff>95250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>
          <a:spLocks noChangeShapeType="1"/>
        </xdr:cNvSpPr>
      </xdr:nvSpPr>
      <xdr:spPr bwMode="auto">
        <a:xfrm>
          <a:off x="6781800" y="5530215"/>
          <a:ext cx="262890" cy="971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495300</xdr:colOff>
      <xdr:row>36</xdr:row>
      <xdr:rowOff>47626</xdr:rowOff>
    </xdr:from>
    <xdr:to>
      <xdr:col>13</xdr:col>
      <xdr:colOff>304800</xdr:colOff>
      <xdr:row>37</xdr:row>
      <xdr:rowOff>95250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>
          <a:spLocks noChangeShapeType="1"/>
        </xdr:cNvSpPr>
      </xdr:nvSpPr>
      <xdr:spPr bwMode="auto">
        <a:xfrm flipH="1">
          <a:off x="7993380" y="6082666"/>
          <a:ext cx="434340" cy="2152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295274</xdr:colOff>
      <xdr:row>34</xdr:row>
      <xdr:rowOff>171449</xdr:rowOff>
    </xdr:from>
    <xdr:to>
      <xdr:col>11</xdr:col>
      <xdr:colOff>161925</xdr:colOff>
      <xdr:row>35</xdr:row>
      <xdr:rowOff>180974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>
          <a:spLocks noChangeShapeType="1"/>
        </xdr:cNvSpPr>
      </xdr:nvSpPr>
      <xdr:spPr bwMode="auto">
        <a:xfrm flipH="1" flipV="1">
          <a:off x="6543674" y="5871209"/>
          <a:ext cx="491491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476250</xdr:colOff>
      <xdr:row>34</xdr:row>
      <xdr:rowOff>104775</xdr:rowOff>
    </xdr:from>
    <xdr:ext cx="104003" cy="170560"/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 txBox="1">
          <a:spLocks noChangeArrowheads="1"/>
        </xdr:cNvSpPr>
      </xdr:nvSpPr>
      <xdr:spPr bwMode="auto">
        <a:xfrm>
          <a:off x="6099810" y="5804535"/>
          <a:ext cx="104003" cy="17056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</a:t>
          </a:r>
        </a:p>
      </xdr:txBody>
    </xdr:sp>
    <xdr:clientData/>
  </xdr:oneCellAnchor>
  <xdr:twoCellAnchor>
    <xdr:from>
      <xdr:col>9</xdr:col>
      <xdr:colOff>590550</xdr:colOff>
      <xdr:row>35</xdr:row>
      <xdr:rowOff>57150</xdr:rowOff>
    </xdr:from>
    <xdr:to>
      <xdr:col>10</xdr:col>
      <xdr:colOff>409575</xdr:colOff>
      <xdr:row>36</xdr:row>
      <xdr:rowOff>152400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>
          <a:spLocks noChangeShapeType="1"/>
        </xdr:cNvSpPr>
      </xdr:nvSpPr>
      <xdr:spPr bwMode="auto">
        <a:xfrm>
          <a:off x="6214110" y="5924550"/>
          <a:ext cx="443865" cy="2628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495300</xdr:colOff>
      <xdr:row>34</xdr:row>
      <xdr:rowOff>133349</xdr:rowOff>
    </xdr:from>
    <xdr:to>
      <xdr:col>13</xdr:col>
      <xdr:colOff>114300</xdr:colOff>
      <xdr:row>35</xdr:row>
      <xdr:rowOff>57148</xdr:rowOff>
    </xdr:to>
    <xdr:sp macro="" textlink="">
      <xdr:nvSpPr>
        <xdr:cNvPr id="15" name="Line 10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>
          <a:spLocks noChangeShapeType="1"/>
        </xdr:cNvSpPr>
      </xdr:nvSpPr>
      <xdr:spPr bwMode="auto">
        <a:xfrm flipH="1">
          <a:off x="7993380" y="5833109"/>
          <a:ext cx="243840" cy="9143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142324</xdr:colOff>
      <xdr:row>7</xdr:row>
      <xdr:rowOff>180833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0100" y="323850"/>
          <a:ext cx="4409524" cy="113333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14</xdr:col>
      <xdr:colOff>104229</xdr:colOff>
      <xdr:row>28</xdr:row>
      <xdr:rowOff>180548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10100" y="1781175"/>
          <a:ext cx="4371429" cy="341904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22</xdr:col>
      <xdr:colOff>199467</xdr:colOff>
      <xdr:row>19</xdr:row>
      <xdr:rowOff>9333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86900" y="1781175"/>
          <a:ext cx="4466667" cy="1533333"/>
        </a:xfrm>
        <a:prstGeom prst="rect">
          <a:avLst/>
        </a:prstGeom>
      </xdr:spPr>
    </xdr:pic>
    <xdr:clientData/>
  </xdr:twoCellAnchor>
  <xdr:twoCellAnchor editAs="oneCell">
    <xdr:from>
      <xdr:col>14</xdr:col>
      <xdr:colOff>609599</xdr:colOff>
      <xdr:row>23</xdr:row>
      <xdr:rowOff>0</xdr:rowOff>
    </xdr:from>
    <xdr:to>
      <xdr:col>25</xdr:col>
      <xdr:colOff>591592</xdr:colOff>
      <xdr:row>43</xdr:row>
      <xdr:rowOff>171450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86899" y="3724275"/>
          <a:ext cx="6687593" cy="3981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9525</xdr:rowOff>
    </xdr:from>
    <xdr:to>
      <xdr:col>17</xdr:col>
      <xdr:colOff>400050</xdr:colOff>
      <xdr:row>31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"/>
  <sheetViews>
    <sheetView workbookViewId="0"/>
  </sheetViews>
  <sheetFormatPr defaultColWidth="9.140625" defaultRowHeight="15"/>
  <cols>
    <col min="1" max="1" width="9.140625" style="4"/>
    <col min="2" max="2" width="27.140625" style="4" customWidth="1"/>
    <col min="3" max="3" width="19.5703125" style="4" customWidth="1"/>
    <col min="4" max="4" width="69.42578125" style="4" customWidth="1"/>
    <col min="5" max="16384" width="9.140625" style="4"/>
  </cols>
  <sheetData>
    <row r="1" spans="1:4">
      <c r="A1" s="4" t="s">
        <v>281</v>
      </c>
    </row>
    <row r="3" spans="1:4">
      <c r="A3" s="4" t="s">
        <v>239</v>
      </c>
    </row>
    <row r="5" spans="1:4">
      <c r="B5" s="6" t="s">
        <v>238</v>
      </c>
      <c r="C5" s="4">
        <v>100</v>
      </c>
    </row>
    <row r="6" spans="1:4">
      <c r="B6" s="6" t="s">
        <v>5</v>
      </c>
      <c r="C6" s="4">
        <v>25</v>
      </c>
    </row>
    <row r="7" spans="1:4">
      <c r="B7" s="6" t="s">
        <v>237</v>
      </c>
      <c r="C7" s="4">
        <f>SQRT(C6)</f>
        <v>5</v>
      </c>
      <c r="D7" s="8" t="str">
        <f ca="1">_xlfn.FORMULATEXT(C7)</f>
        <v>=SQRT(C6)</v>
      </c>
    </row>
    <row r="9" spans="1:4">
      <c r="B9" s="39" t="s">
        <v>236</v>
      </c>
      <c r="C9" s="4">
        <f>_xlfn.NORM.DIST(95,C5,C7,TRUE)</f>
        <v>0.15865525393145699</v>
      </c>
      <c r="D9" s="8" t="str">
        <f ca="1">_xlfn.FORMULATEXT(C9)</f>
        <v>=NORM.DIST(95,C5,C7,TRUE)</v>
      </c>
    </row>
    <row r="10" spans="1:4">
      <c r="B10" s="9" t="s">
        <v>235</v>
      </c>
      <c r="C10" s="4">
        <f>_xlfn.NORM.DIST(105,C5,C7,TRUE)-_xlfn.NORM.DIST(95,C5,C7,TRUE)</f>
        <v>0.68268949213708607</v>
      </c>
      <c r="D10" s="8" t="str">
        <f t="shared" ref="D10:D12" ca="1" si="0">_xlfn.FORMULATEXT(C10)</f>
        <v>=NORM.DIST(105,C5,C7,TRUE)-NORM.DIST(95,C5,C7,TRUE)</v>
      </c>
    </row>
    <row r="11" spans="1:4">
      <c r="B11" s="4" t="s">
        <v>234</v>
      </c>
      <c r="C11" s="4">
        <f>_xlfn.NORM.DIST(115,C5,C7,TRUE)-_xlfn.NORM.DIST(105,C5,C7,TRUE)</f>
        <v>0.15730535589982686</v>
      </c>
      <c r="D11" s="8" t="str">
        <f t="shared" ca="1" si="0"/>
        <v>=NORM.DIST(115,C5,C7,TRUE)-NORM.DIST(105,C5,C7,TRUE)</v>
      </c>
    </row>
    <row r="12" spans="1:4">
      <c r="B12" s="4" t="s">
        <v>233</v>
      </c>
      <c r="C12" s="4">
        <f>_xlfn.NORM.DIST(99,C5,C7,TRUE)-_xlfn.NORM.DIST(93,C5,C7,TRUE)</f>
        <v>0.33998363132712589</v>
      </c>
      <c r="D12" s="8" t="str">
        <f t="shared" ca="1" si="0"/>
        <v>=NORM.DIST(99,C5,C7,TRUE)-NORM.DIST(93,C5,C7,TRUE)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scale="3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8"/>
  <sheetViews>
    <sheetView workbookViewId="0">
      <selection activeCell="D9" sqref="D9"/>
    </sheetView>
  </sheetViews>
  <sheetFormatPr defaultColWidth="8.85546875" defaultRowHeight="15"/>
  <cols>
    <col min="1" max="1" width="8.85546875" style="4"/>
    <col min="2" max="2" width="17.5703125" style="4" customWidth="1"/>
    <col min="3" max="3" width="8.85546875" style="4"/>
    <col min="4" max="4" width="28.5703125" style="4" customWidth="1"/>
    <col min="5" max="16384" width="8.85546875" style="4"/>
  </cols>
  <sheetData>
    <row r="1" spans="1:4">
      <c r="A1" s="4" t="s">
        <v>297</v>
      </c>
    </row>
    <row r="4" spans="1:4">
      <c r="B4" s="6" t="s">
        <v>167</v>
      </c>
      <c r="C4" s="4">
        <v>2.34</v>
      </c>
    </row>
    <row r="5" spans="1:4" ht="18">
      <c r="B5" s="6" t="s">
        <v>262</v>
      </c>
      <c r="C5" s="4">
        <v>12</v>
      </c>
    </row>
    <row r="6" spans="1:4" ht="18">
      <c r="B6" s="6" t="s">
        <v>263</v>
      </c>
      <c r="C6" s="4">
        <v>19</v>
      </c>
    </row>
    <row r="8" spans="1:4">
      <c r="B8" s="37" t="s">
        <v>261</v>
      </c>
      <c r="C8" s="38">
        <f>_xlfn.F.DIST.RT(C4,C5,C6)</f>
        <v>4.7321688645956914E-2</v>
      </c>
      <c r="D8" s="8" t="str">
        <f ca="1">_xlfn.FORMULATEXT(C8)</f>
        <v>=F.DIST.RT(C4,C5,C6)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6"/>
  <sheetViews>
    <sheetView workbookViewId="0">
      <selection activeCell="D20" sqref="D20"/>
    </sheetView>
  </sheetViews>
  <sheetFormatPr defaultColWidth="14" defaultRowHeight="15"/>
  <cols>
    <col min="1" max="1" width="14" style="1"/>
    <col min="2" max="2" width="35.5703125" style="1" customWidth="1"/>
    <col min="3" max="3" width="14" style="1"/>
    <col min="4" max="4" width="25.140625" style="1" customWidth="1"/>
    <col min="5" max="16384" width="14" style="1"/>
  </cols>
  <sheetData>
    <row r="1" spans="1:4">
      <c r="A1" s="1" t="s">
        <v>298</v>
      </c>
    </row>
    <row r="3" spans="1:4">
      <c r="B3" s="11" t="s">
        <v>168</v>
      </c>
      <c r="C3" s="12">
        <v>13.98</v>
      </c>
    </row>
    <row r="4" spans="1:4">
      <c r="B4" s="11" t="s">
        <v>169</v>
      </c>
      <c r="C4" s="12">
        <v>7</v>
      </c>
    </row>
    <row r="5" spans="1:4">
      <c r="B5" s="42" t="s">
        <v>171</v>
      </c>
      <c r="C5" s="43">
        <f>_xlfn.CHISQ.DIST.RT(C3,C4)</f>
        <v>5.1538218319781719E-2</v>
      </c>
      <c r="D5" s="44" t="str">
        <f ca="1">_xlfn.FORMULATEXT(C5)</f>
        <v>=CHISQ.DIST.RT(C3,C4)</v>
      </c>
    </row>
    <row r="6" spans="1:4">
      <c r="B6" s="11" t="s">
        <v>172</v>
      </c>
      <c r="C6" s="12">
        <f>1-_xlfn.CHISQ.DIST(C3,C4,TRUE)</f>
        <v>5.153821831978167E-2</v>
      </c>
      <c r="D6" s="62" t="str">
        <f ca="1">_xlfn.FORMULATEXT(C6)</f>
        <v>=1-CHISQ.DIST(C3,C4,TRUE)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5"/>
  <sheetViews>
    <sheetView workbookViewId="0">
      <selection activeCell="D6" sqref="D6"/>
    </sheetView>
  </sheetViews>
  <sheetFormatPr defaultColWidth="14" defaultRowHeight="15"/>
  <cols>
    <col min="1" max="1" width="14" style="1"/>
    <col min="2" max="2" width="35.5703125" style="1" customWidth="1"/>
    <col min="3" max="3" width="14" style="1"/>
    <col min="4" max="4" width="23.5703125" style="1" bestFit="1" customWidth="1"/>
    <col min="5" max="16384" width="14" style="1"/>
  </cols>
  <sheetData>
    <row r="1" spans="1:4">
      <c r="A1" s="1" t="s">
        <v>299</v>
      </c>
    </row>
    <row r="3" spans="1:4">
      <c r="B3" s="11" t="s">
        <v>173</v>
      </c>
      <c r="C3" s="12">
        <v>1.2500000000000001E-2</v>
      </c>
    </row>
    <row r="4" spans="1:4">
      <c r="B4" s="11" t="s">
        <v>169</v>
      </c>
      <c r="C4" s="12">
        <v>12</v>
      </c>
    </row>
    <row r="5" spans="1:4">
      <c r="B5" s="42" t="s">
        <v>170</v>
      </c>
      <c r="C5" s="43">
        <f>_xlfn.CHISQ.INV(C3,C4)</f>
        <v>3.752478924667574</v>
      </c>
      <c r="D5" s="2" t="str">
        <f ca="1">_xlfn.FORMULATEXT(C5)</f>
        <v>=CHISQ.INV(C3,C4)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2"/>
  <sheetViews>
    <sheetView workbookViewId="0">
      <selection activeCell="B22" sqref="B22"/>
    </sheetView>
  </sheetViews>
  <sheetFormatPr defaultRowHeight="12.75"/>
  <sheetData>
    <row r="1" spans="1:9" ht="15">
      <c r="A1" s="1" t="s">
        <v>312</v>
      </c>
      <c r="B1" s="1"/>
      <c r="C1" s="1"/>
      <c r="D1" s="1"/>
      <c r="E1" s="1"/>
      <c r="F1" s="1"/>
      <c r="G1" s="1"/>
      <c r="H1" s="1"/>
      <c r="I1" s="1"/>
    </row>
    <row r="2" spans="1:9" ht="15">
      <c r="A2" s="1"/>
      <c r="B2" s="1"/>
      <c r="C2" s="1"/>
      <c r="D2" s="1"/>
      <c r="E2" s="1"/>
      <c r="F2" s="1"/>
      <c r="G2" s="1"/>
      <c r="H2" s="1"/>
      <c r="I2" s="1"/>
    </row>
    <row r="3" spans="1:9" ht="15">
      <c r="A3" s="1"/>
      <c r="B3" s="45" t="s">
        <v>300</v>
      </c>
      <c r="C3" s="1"/>
      <c r="D3" s="1"/>
      <c r="E3" s="1"/>
      <c r="F3" s="1"/>
      <c r="G3" s="1"/>
      <c r="H3" s="1"/>
      <c r="I3" s="1"/>
    </row>
    <row r="4" spans="1:9" ht="15">
      <c r="A4" s="1"/>
      <c r="B4" s="46"/>
      <c r="C4" s="1"/>
      <c r="D4" s="1"/>
      <c r="E4" s="1"/>
      <c r="F4" s="1"/>
      <c r="G4" s="1"/>
      <c r="H4" s="1"/>
      <c r="I4" s="1"/>
    </row>
    <row r="5" spans="1:9" ht="15">
      <c r="A5" s="1"/>
      <c r="B5" s="45" t="s">
        <v>301</v>
      </c>
      <c r="C5" s="1"/>
      <c r="D5" s="1"/>
      <c r="E5" s="1"/>
      <c r="F5" s="1"/>
      <c r="G5" s="1"/>
      <c r="H5" s="1"/>
      <c r="I5" s="1"/>
    </row>
    <row r="6" spans="1:9" ht="15">
      <c r="A6" s="1"/>
      <c r="B6" s="1"/>
      <c r="C6" s="1"/>
      <c r="D6" s="1"/>
      <c r="E6" s="1"/>
      <c r="F6" s="1"/>
      <c r="G6" s="1"/>
      <c r="H6" s="1"/>
      <c r="I6" s="1"/>
    </row>
    <row r="7" spans="1:9" ht="15">
      <c r="A7" s="1"/>
      <c r="B7" s="1" t="s">
        <v>302</v>
      </c>
      <c r="C7" s="1"/>
      <c r="D7" s="1"/>
      <c r="E7" s="1"/>
      <c r="F7" s="1"/>
      <c r="G7" s="1"/>
      <c r="H7" s="1"/>
      <c r="I7" s="1"/>
    </row>
    <row r="8" spans="1:9" ht="15">
      <c r="A8" s="1"/>
      <c r="B8" s="1"/>
      <c r="C8" s="1"/>
      <c r="D8" s="1"/>
      <c r="E8" s="1"/>
      <c r="F8" s="1"/>
      <c r="G8" s="1"/>
      <c r="H8" s="1"/>
      <c r="I8" s="1"/>
    </row>
    <row r="9" spans="1:9" ht="15">
      <c r="A9" s="1"/>
      <c r="B9" s="1"/>
      <c r="C9" s="1"/>
      <c r="D9" s="1"/>
      <c r="E9" s="1"/>
      <c r="F9" s="1"/>
      <c r="G9" s="1"/>
      <c r="H9" s="1"/>
      <c r="I9" s="1"/>
    </row>
    <row r="10" spans="1:9" ht="15">
      <c r="A10" s="1"/>
      <c r="B10" s="1"/>
      <c r="C10" s="1"/>
      <c r="D10" s="1"/>
      <c r="E10" s="1"/>
      <c r="F10" s="1"/>
      <c r="G10" s="1"/>
      <c r="H10" s="1"/>
      <c r="I10" s="1"/>
    </row>
    <row r="11" spans="1:9" ht="15.75" thickBot="1">
      <c r="A11" s="1"/>
      <c r="B11" s="1"/>
      <c r="C11" s="1"/>
      <c r="D11" s="1"/>
      <c r="E11" s="1"/>
      <c r="F11" s="1"/>
      <c r="G11" s="1"/>
      <c r="H11" s="1"/>
      <c r="I11" s="1"/>
    </row>
    <row r="12" spans="1:9" ht="15.75" thickBot="1">
      <c r="A12" s="1"/>
      <c r="B12" s="1"/>
      <c r="C12" s="1"/>
      <c r="D12" s="47"/>
      <c r="E12" s="48"/>
      <c r="F12" s="76" t="s">
        <v>303</v>
      </c>
      <c r="G12" s="77"/>
      <c r="H12" s="78"/>
      <c r="I12" s="1"/>
    </row>
    <row r="13" spans="1:9" ht="15.75" thickBot="1">
      <c r="A13" s="1"/>
      <c r="B13" s="1"/>
      <c r="C13" s="1"/>
      <c r="D13" s="49"/>
      <c r="E13" s="50"/>
      <c r="F13" s="51" t="s">
        <v>304</v>
      </c>
      <c r="G13" s="52" t="s">
        <v>305</v>
      </c>
      <c r="H13" s="52" t="s">
        <v>306</v>
      </c>
      <c r="I13" s="1"/>
    </row>
    <row r="14" spans="1:9" ht="15.75" thickBot="1">
      <c r="A14" s="1"/>
      <c r="B14" s="1"/>
      <c r="C14" s="1"/>
      <c r="D14" s="79" t="s">
        <v>307</v>
      </c>
      <c r="E14" s="53" t="s">
        <v>304</v>
      </c>
      <c r="F14" s="54" t="s">
        <v>308</v>
      </c>
      <c r="G14" s="54" t="s">
        <v>308</v>
      </c>
      <c r="H14" s="54" t="s">
        <v>308</v>
      </c>
      <c r="I14" s="1"/>
    </row>
    <row r="15" spans="1:9" ht="15.75" thickBot="1">
      <c r="A15" s="1"/>
      <c r="B15" s="1"/>
      <c r="C15" s="1"/>
      <c r="D15" s="80"/>
      <c r="E15" s="53" t="s">
        <v>305</v>
      </c>
      <c r="F15" s="54" t="s">
        <v>308</v>
      </c>
      <c r="G15" s="54" t="s">
        <v>308</v>
      </c>
      <c r="H15" s="54" t="s">
        <v>308</v>
      </c>
      <c r="I15" s="1"/>
    </row>
    <row r="16" spans="1:9" ht="15.75" thickBot="1">
      <c r="A16" s="1"/>
      <c r="B16" s="1"/>
      <c r="C16" s="1"/>
      <c r="D16" s="81"/>
      <c r="E16" s="53" t="s">
        <v>306</v>
      </c>
      <c r="F16" s="54" t="s">
        <v>308</v>
      </c>
      <c r="G16" s="54" t="s">
        <v>308</v>
      </c>
      <c r="H16" s="54" t="s">
        <v>308</v>
      </c>
      <c r="I16" s="1"/>
    </row>
    <row r="17" spans="1:9" ht="15">
      <c r="A17" s="1"/>
      <c r="B17" s="1"/>
      <c r="C17" s="1"/>
      <c r="D17" s="45" t="s">
        <v>309</v>
      </c>
      <c r="E17" s="1"/>
      <c r="F17" s="1"/>
      <c r="G17" s="1"/>
      <c r="H17" s="1"/>
      <c r="I17" s="1"/>
    </row>
    <row r="18" spans="1:9" ht="15">
      <c r="A18" s="1"/>
      <c r="B18" s="1"/>
      <c r="C18" s="1"/>
      <c r="D18" s="45"/>
      <c r="E18" s="1"/>
      <c r="F18" s="1"/>
      <c r="G18" s="1"/>
      <c r="H18" s="1"/>
      <c r="I18" s="1"/>
    </row>
    <row r="19" spans="1:9" ht="15">
      <c r="A19" s="1"/>
      <c r="B19" s="1"/>
      <c r="C19" s="1"/>
      <c r="D19" s="1"/>
      <c r="E19" s="1"/>
      <c r="F19" s="1"/>
      <c r="G19" s="1"/>
      <c r="H19" s="1"/>
      <c r="I19" s="1"/>
    </row>
    <row r="20" spans="1:9" ht="15">
      <c r="A20" s="1" t="s">
        <v>313</v>
      </c>
      <c r="B20" s="1" t="s">
        <v>310</v>
      </c>
      <c r="C20" s="1"/>
      <c r="D20" s="1"/>
      <c r="E20" s="1"/>
      <c r="F20" s="1"/>
      <c r="G20" s="1"/>
      <c r="H20" s="1"/>
      <c r="I20" s="1"/>
    </row>
    <row r="21" spans="1:9" ht="15">
      <c r="A21" s="1"/>
      <c r="B21" s="1"/>
      <c r="C21" s="1"/>
      <c r="D21" s="1"/>
      <c r="E21" s="1"/>
      <c r="F21" s="1"/>
      <c r="G21" s="1"/>
      <c r="H21" s="1"/>
      <c r="I21" s="1"/>
    </row>
    <row r="22" spans="1:9" ht="15">
      <c r="A22" s="1" t="s">
        <v>314</v>
      </c>
      <c r="B22" s="1" t="s">
        <v>311</v>
      </c>
      <c r="C22" s="1"/>
      <c r="D22" s="1"/>
      <c r="E22" s="1"/>
      <c r="F22" s="1"/>
      <c r="G22" s="1"/>
      <c r="H22" s="1"/>
      <c r="I22" s="1"/>
    </row>
  </sheetData>
  <mergeCells count="2">
    <mergeCell ref="F12:H12"/>
    <mergeCell ref="D14:D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5"/>
  <sheetViews>
    <sheetView workbookViewId="0">
      <selection activeCell="E6" sqref="E6"/>
    </sheetView>
  </sheetViews>
  <sheetFormatPr defaultColWidth="9.140625" defaultRowHeight="15"/>
  <cols>
    <col min="1" max="4" width="9.140625" style="4"/>
    <col min="5" max="5" width="18" style="4" customWidth="1"/>
    <col min="6" max="16384" width="9.140625" style="4"/>
  </cols>
  <sheetData>
    <row r="1" spans="1:5">
      <c r="A1" s="4" t="s">
        <v>315</v>
      </c>
    </row>
    <row r="3" spans="1:5">
      <c r="A3" s="4" t="s">
        <v>63</v>
      </c>
      <c r="C3" s="6" t="s">
        <v>62</v>
      </c>
      <c r="D3" s="4">
        <f>COMBIN(3,1)</f>
        <v>3</v>
      </c>
      <c r="E3" s="8" t="str">
        <f ca="1">_xlfn.FORMULATEXT(D3)</f>
        <v>=COMBIN(3,1)</v>
      </c>
    </row>
    <row r="4" spans="1:5">
      <c r="A4" s="4" t="s">
        <v>61</v>
      </c>
      <c r="C4" s="6" t="s">
        <v>60</v>
      </c>
      <c r="D4" s="4">
        <f>COMBIN(10,3)</f>
        <v>120</v>
      </c>
      <c r="E4" s="8" t="str">
        <f t="shared" ref="E4:E5" ca="1" si="0">_xlfn.FORMULATEXT(D4)</f>
        <v>=COMBIN(10,3)</v>
      </c>
    </row>
    <row r="5" spans="1:5">
      <c r="A5" s="4" t="s">
        <v>59</v>
      </c>
      <c r="C5" s="6" t="s">
        <v>58</v>
      </c>
      <c r="D5" s="4">
        <f>COMBIN(2,0)</f>
        <v>1</v>
      </c>
      <c r="E5" s="8" t="str">
        <f t="shared" ca="1" si="0"/>
        <v>=COMBIN(2,0)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14"/>
  <sheetViews>
    <sheetView workbookViewId="0">
      <selection activeCell="D15" sqref="D15"/>
    </sheetView>
  </sheetViews>
  <sheetFormatPr defaultColWidth="9.140625" defaultRowHeight="15"/>
  <cols>
    <col min="1" max="1" width="9.140625" style="4"/>
    <col min="2" max="2" width="14.140625" style="4" customWidth="1"/>
    <col min="3" max="3" width="15.42578125" style="4" customWidth="1"/>
    <col min="4" max="4" width="41.85546875" style="4" customWidth="1"/>
    <col min="5" max="16384" width="9.140625" style="4"/>
  </cols>
  <sheetData>
    <row r="1" spans="1:9">
      <c r="A1" s="4" t="s">
        <v>264</v>
      </c>
    </row>
    <row r="3" spans="1:9">
      <c r="B3" s="4" t="s">
        <v>56</v>
      </c>
    </row>
    <row r="4" spans="1:9">
      <c r="B4" s="6" t="s">
        <v>50</v>
      </c>
      <c r="C4" s="4">
        <v>4</v>
      </c>
    </row>
    <row r="5" spans="1:9">
      <c r="B5" s="6" t="s">
        <v>57</v>
      </c>
      <c r="C5" s="4">
        <v>0.6</v>
      </c>
    </row>
    <row r="7" spans="1:9">
      <c r="B7" s="4" t="s">
        <v>65</v>
      </c>
      <c r="I7" s="4" t="s">
        <v>64</v>
      </c>
    </row>
    <row r="9" spans="1:9">
      <c r="B9" s="5" t="s">
        <v>7</v>
      </c>
      <c r="C9" s="5" t="s">
        <v>54</v>
      </c>
    </row>
    <row r="10" spans="1:9">
      <c r="B10" s="5">
        <v>0</v>
      </c>
      <c r="C10" s="5">
        <f>_xlfn.BINOM.DIST(B10,$C$4,$C$5,FALSE)</f>
        <v>2.5600000000000008E-2</v>
      </c>
      <c r="D10" s="8" t="str">
        <f ca="1">_xlfn.FORMULATEXT(C10)</f>
        <v>=BINOM.DIST(B10,$C$4,$C$5,FALSE)</v>
      </c>
    </row>
    <row r="11" spans="1:9">
      <c r="B11" s="5">
        <v>1</v>
      </c>
      <c r="C11" s="5">
        <f>_xlfn.BINOM.DIST(B11,$C$4,$C$5,FALSE)</f>
        <v>0.15360000000000001</v>
      </c>
    </row>
    <row r="12" spans="1:9">
      <c r="B12" s="5">
        <v>2</v>
      </c>
      <c r="C12" s="5">
        <f>_xlfn.BINOM.DIST(B12,$C$4,$C$5,FALSE)</f>
        <v>0.34560000000000002</v>
      </c>
    </row>
    <row r="13" spans="1:9">
      <c r="B13" s="5">
        <v>3</v>
      </c>
      <c r="C13" s="5">
        <f>_xlfn.BINOM.DIST(B13,$C$4,$C$5,FALSE)</f>
        <v>0.34559999999999991</v>
      </c>
    </row>
    <row r="14" spans="1:9">
      <c r="B14" s="5">
        <v>4</v>
      </c>
      <c r="C14" s="5">
        <f>_xlfn.BINOM.DIST(B14,$C$4,$C$5,FALSE)</f>
        <v>0.12959999999999999</v>
      </c>
      <c r="D14" s="8" t="str">
        <f ca="1">_xlfn.FORMULATEXT(C14)</f>
        <v>=BINOM.DIST(B14,$C$4,$C$5,FALSE)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scale="62" orientation="landscape" horizontalDpi="0" verticalDpi="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20"/>
  <sheetViews>
    <sheetView workbookViewId="0">
      <selection activeCell="E21" sqref="E21"/>
    </sheetView>
  </sheetViews>
  <sheetFormatPr defaultColWidth="9.140625" defaultRowHeight="15"/>
  <cols>
    <col min="1" max="1" width="9.140625" style="4"/>
    <col min="2" max="2" width="17" style="4" customWidth="1"/>
    <col min="3" max="3" width="21.140625" style="4" customWidth="1"/>
    <col min="4" max="4" width="17.28515625" style="4" customWidth="1"/>
    <col min="5" max="5" width="39" style="4" customWidth="1"/>
    <col min="6" max="16384" width="9.140625" style="4"/>
  </cols>
  <sheetData>
    <row r="1" spans="1:5">
      <c r="A1" s="4" t="s">
        <v>265</v>
      </c>
    </row>
    <row r="3" spans="1:5">
      <c r="B3" s="4" t="s">
        <v>76</v>
      </c>
    </row>
    <row r="4" spans="1:5">
      <c r="B4" s="6" t="s">
        <v>3</v>
      </c>
      <c r="C4" s="4">
        <v>0.6</v>
      </c>
    </row>
    <row r="5" spans="1:5">
      <c r="B5" s="6" t="s">
        <v>75</v>
      </c>
      <c r="C5" s="4">
        <v>0.4</v>
      </c>
    </row>
    <row r="6" spans="1:5">
      <c r="B6" s="9" t="s">
        <v>74</v>
      </c>
    </row>
    <row r="7" spans="1:5">
      <c r="B7" s="6" t="s">
        <v>50</v>
      </c>
      <c r="C7" s="4">
        <v>6</v>
      </c>
    </row>
    <row r="9" spans="1:5">
      <c r="B9" s="9" t="s">
        <v>73</v>
      </c>
    </row>
    <row r="10" spans="1:5">
      <c r="C10" s="6" t="s">
        <v>72</v>
      </c>
      <c r="D10" s="4">
        <f>_xlfn.BINOM.DIST(6,C7,C5,FALSE)</f>
        <v>4.0960000000000024E-3</v>
      </c>
      <c r="E10" s="8" t="str">
        <f ca="1">_xlfn.FORMULATEXT(D10)</f>
        <v>=BINOM.DIST(6,C7,C5,FALSE)</v>
      </c>
    </row>
    <row r="12" spans="1:5">
      <c r="B12" s="4" t="s">
        <v>71</v>
      </c>
    </row>
    <row r="13" spans="1:5">
      <c r="C13" s="6" t="s">
        <v>52</v>
      </c>
      <c r="D13" s="4">
        <f>_xlfn.BINOM.DIST(3,C7,C4,FALSE)</f>
        <v>0.27648</v>
      </c>
      <c r="E13" s="8" t="str">
        <f ca="1">_xlfn.FORMULATEXT(D13)</f>
        <v>=BINOM.DIST(3,C7,C4,FALSE)</v>
      </c>
    </row>
    <row r="15" spans="1:5">
      <c r="B15" s="4" t="s">
        <v>70</v>
      </c>
    </row>
    <row r="16" spans="1:5">
      <c r="C16" s="6" t="s">
        <v>69</v>
      </c>
      <c r="D16" s="4">
        <f>_xlfn.BINOM.DIST(0,C7,C5,FALSE)</f>
        <v>4.6655999999999989E-2</v>
      </c>
      <c r="E16" s="8" t="str">
        <f t="shared" ref="E16:E18" ca="1" si="0">_xlfn.FORMULATEXT(D16)</f>
        <v>=BINOM.DIST(0,C7,C5,FALSE)</v>
      </c>
    </row>
    <row r="17" spans="3:5">
      <c r="C17" s="6" t="s">
        <v>68</v>
      </c>
      <c r="D17" s="4">
        <f>_xlfn.BINOM.DIST(1,C7,C5,FALSE)</f>
        <v>0.18662399999999996</v>
      </c>
      <c r="E17" s="8" t="str">
        <f t="shared" ca="1" si="0"/>
        <v>=BINOM.DIST(1,C7,C5,FALSE)</v>
      </c>
    </row>
    <row r="18" spans="3:5">
      <c r="C18" s="6" t="s">
        <v>67</v>
      </c>
      <c r="D18" s="4">
        <f>_xlfn.BINOM.DIST(2,C7,C5,FALSE)</f>
        <v>0.31103999999999998</v>
      </c>
      <c r="E18" s="8" t="str">
        <f t="shared" ca="1" si="0"/>
        <v>=BINOM.DIST(2,C7,C5,FALSE)</v>
      </c>
    </row>
    <row r="20" spans="3:5">
      <c r="C20" s="6" t="s">
        <v>66</v>
      </c>
      <c r="D20" s="4">
        <f>SUM(D16:D18)</f>
        <v>0.54431999999999992</v>
      </c>
      <c r="E20" s="8" t="str">
        <f ca="1">_xlfn.FORMULATEXT(D20)</f>
        <v>=SUM(D16:D18)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D20"/>
  <sheetViews>
    <sheetView workbookViewId="0">
      <selection activeCell="D19" sqref="D19"/>
    </sheetView>
  </sheetViews>
  <sheetFormatPr defaultColWidth="9.140625" defaultRowHeight="15"/>
  <cols>
    <col min="1" max="1" width="9.140625" style="4"/>
    <col min="2" max="2" width="37.28515625" style="4" customWidth="1"/>
    <col min="3" max="3" width="20.140625" style="4" customWidth="1"/>
    <col min="4" max="4" width="39.85546875" style="4" customWidth="1"/>
    <col min="5" max="16384" width="9.140625" style="4"/>
  </cols>
  <sheetData>
    <row r="1" spans="1:4">
      <c r="A1" s="4" t="s">
        <v>266</v>
      </c>
    </row>
    <row r="3" spans="1:4">
      <c r="B3" s="4" t="s">
        <v>87</v>
      </c>
    </row>
    <row r="4" spans="1:4">
      <c r="B4" s="6" t="s">
        <v>86</v>
      </c>
      <c r="C4" s="4">
        <v>3</v>
      </c>
    </row>
    <row r="5" spans="1:4">
      <c r="B5" s="6" t="s">
        <v>85</v>
      </c>
      <c r="C5" s="4">
        <v>0.05</v>
      </c>
    </row>
    <row r="7" spans="1:4">
      <c r="B7" s="4" t="s">
        <v>84</v>
      </c>
    </row>
    <row r="9" spans="1:4">
      <c r="B9" s="6" t="s">
        <v>83</v>
      </c>
      <c r="C9" s="4">
        <f>1-_xlfn.BINOM.DIST(0,C4,C5,FALSE)</f>
        <v>0.142625</v>
      </c>
      <c r="D9" s="8" t="str">
        <f ca="1">_xlfn.FORMULATEXT(C9)</f>
        <v>=1-BINOM.DIST(0,C4,C5,FALSE)</v>
      </c>
    </row>
    <row r="11" spans="1:4">
      <c r="B11" s="4" t="s">
        <v>82</v>
      </c>
    </row>
    <row r="13" spans="1:4">
      <c r="B13" s="4" t="s">
        <v>81</v>
      </c>
    </row>
    <row r="14" spans="1:4">
      <c r="B14" s="4" t="s">
        <v>80</v>
      </c>
    </row>
    <row r="16" spans="1:4">
      <c r="B16" s="4" t="s">
        <v>79</v>
      </c>
    </row>
    <row r="18" spans="2:4">
      <c r="B18" s="6" t="s">
        <v>78</v>
      </c>
      <c r="C18" s="4">
        <f>C9^2</f>
        <v>2.0341890625000001E-2</v>
      </c>
      <c r="D18" s="8" t="str">
        <f ca="1">_xlfn.FORMULATEXT(C18)</f>
        <v>=C9^2</v>
      </c>
    </row>
    <row r="20" spans="2:4">
      <c r="B20" s="4" t="s">
        <v>77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D12"/>
  <sheetViews>
    <sheetView workbookViewId="0">
      <selection activeCell="D11" sqref="D11"/>
    </sheetView>
  </sheetViews>
  <sheetFormatPr defaultColWidth="9.140625" defaultRowHeight="15"/>
  <cols>
    <col min="1" max="1" width="9.140625" style="4"/>
    <col min="2" max="2" width="37.42578125" style="4" customWidth="1"/>
    <col min="3" max="3" width="19.140625" style="4" customWidth="1"/>
    <col min="4" max="4" width="65" style="4" customWidth="1"/>
    <col min="5" max="16384" width="9.140625" style="4"/>
  </cols>
  <sheetData>
    <row r="1" spans="1:4">
      <c r="A1" s="4" t="s">
        <v>267</v>
      </c>
    </row>
    <row r="3" spans="1:4">
      <c r="B3" s="4" t="s">
        <v>93</v>
      </c>
      <c r="C3" s="4">
        <f>5/7</f>
        <v>0.7142857142857143</v>
      </c>
      <c r="D3" s="8" t="s">
        <v>92</v>
      </c>
    </row>
    <row r="4" spans="1:4">
      <c r="B4" s="6" t="s">
        <v>86</v>
      </c>
      <c r="C4" s="4">
        <f>4</f>
        <v>4</v>
      </c>
    </row>
    <row r="6" spans="1:4">
      <c r="B6" s="4" t="s">
        <v>91</v>
      </c>
    </row>
    <row r="8" spans="1:4">
      <c r="B8" s="4" t="s">
        <v>90</v>
      </c>
    </row>
    <row r="10" spans="1:4">
      <c r="B10" s="6" t="s">
        <v>89</v>
      </c>
      <c r="C10" s="4">
        <f>_xlfn.BINOM.DIST(3,C4,C3,FALSE)+_xlfn.BINOM.DIST(4,C4,C3,FALSE)</f>
        <v>0.67680133277800913</v>
      </c>
      <c r="D10" s="8" t="str">
        <f ca="1">_xlfn.FORMULATEXT(C10)</f>
        <v>=BINOM.DIST(3,C4,C3,FALSE)+BINOM.DIST(4,C4,C3,FALSE)</v>
      </c>
    </row>
    <row r="12" spans="1:4">
      <c r="B12" s="4" t="s">
        <v>88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30"/>
  <sheetViews>
    <sheetView workbookViewId="0">
      <selection activeCell="E26" sqref="E26"/>
    </sheetView>
  </sheetViews>
  <sheetFormatPr defaultColWidth="9.140625" defaultRowHeight="15"/>
  <cols>
    <col min="1" max="1" width="9.140625" style="4"/>
    <col min="2" max="2" width="18.42578125" style="4" customWidth="1"/>
    <col min="3" max="3" width="17.85546875" style="4" customWidth="1"/>
    <col min="4" max="4" width="35.7109375" style="4" customWidth="1"/>
    <col min="5" max="5" width="9.140625" style="4"/>
    <col min="6" max="6" width="20.140625" style="4" customWidth="1"/>
    <col min="7" max="7" width="19.85546875" style="4" customWidth="1"/>
    <col min="8" max="8" width="28.7109375" style="4" customWidth="1"/>
    <col min="9" max="9" width="15" style="4" customWidth="1"/>
    <col min="10" max="10" width="16.5703125" style="4" customWidth="1"/>
    <col min="11" max="11" width="12.5703125" style="4" customWidth="1"/>
    <col min="12" max="16384" width="9.140625" style="4"/>
  </cols>
  <sheetData>
    <row r="1" spans="1:10">
      <c r="A1" s="4" t="s">
        <v>268</v>
      </c>
    </row>
    <row r="3" spans="1:10">
      <c r="B3" s="4" t="s">
        <v>110</v>
      </c>
    </row>
    <row r="4" spans="1:10">
      <c r="B4" s="4" t="s">
        <v>109</v>
      </c>
    </row>
    <row r="5" spans="1:10">
      <c r="B5" s="4" t="s">
        <v>108</v>
      </c>
    </row>
    <row r="7" spans="1:10">
      <c r="B7" s="13" t="s">
        <v>50</v>
      </c>
      <c r="C7" s="13">
        <v>4</v>
      </c>
    </row>
    <row r="8" spans="1:10">
      <c r="B8" s="13" t="s">
        <v>57</v>
      </c>
      <c r="C8" s="13">
        <v>0.25</v>
      </c>
    </row>
    <row r="10" spans="1:10">
      <c r="B10" s="4" t="s">
        <v>107</v>
      </c>
    </row>
    <row r="11" spans="1:10">
      <c r="B11" s="6" t="s">
        <v>69</v>
      </c>
      <c r="C11" s="4">
        <f>_xlfn.BINOM.DIST(0,C7,C8,FALSE)</f>
        <v>0.31640625000000006</v>
      </c>
      <c r="D11" s="8" t="str">
        <f ca="1">_xlfn.FORMULATEXT(C11)</f>
        <v>=BINOM.DIST(0,C7,C8,FALSE)</v>
      </c>
    </row>
    <row r="13" spans="1:10">
      <c r="B13" s="4" t="s">
        <v>106</v>
      </c>
      <c r="F13" s="9" t="s">
        <v>105</v>
      </c>
    </row>
    <row r="14" spans="1:10">
      <c r="F14" s="4" t="s">
        <v>104</v>
      </c>
    </row>
    <row r="15" spans="1:10">
      <c r="B15" s="14" t="s">
        <v>67</v>
      </c>
      <c r="C15" s="36">
        <f>_xlfn.BINOM.DIST(2,C7,C8,FALSE)</f>
        <v>0.21093750000000003</v>
      </c>
      <c r="D15" s="8" t="str">
        <f t="shared" ref="D15:D18" ca="1" si="0">_xlfn.FORMULATEXT(C15)</f>
        <v>=BINOM.DIST(2,C7,C8,FALSE)</v>
      </c>
    </row>
    <row r="16" spans="1:10">
      <c r="B16" s="14" t="s">
        <v>52</v>
      </c>
      <c r="C16" s="36">
        <f>_xlfn.BINOM.DIST(3,C7,C8,FALSE)</f>
        <v>4.6875000000000007E-2</v>
      </c>
      <c r="D16" s="8" t="str">
        <f t="shared" ca="1" si="0"/>
        <v>=BINOM.DIST(3,C7,C8,FALSE)</v>
      </c>
      <c r="F16" s="7" t="s">
        <v>103</v>
      </c>
      <c r="G16" s="7" t="s">
        <v>8</v>
      </c>
      <c r="H16" s="5"/>
      <c r="I16" s="7" t="s">
        <v>102</v>
      </c>
      <c r="J16" s="7" t="s">
        <v>101</v>
      </c>
    </row>
    <row r="17" spans="2:11">
      <c r="B17" s="14" t="s">
        <v>100</v>
      </c>
      <c r="C17" s="36">
        <f>_xlfn.BINOM.DIST(4,C7,C8,FALSE)</f>
        <v>3.9062500000000009E-3</v>
      </c>
      <c r="D17" s="8" t="str">
        <f t="shared" ca="1" si="0"/>
        <v>=BINOM.DIST(4,C7,C8,FALSE)</v>
      </c>
      <c r="F17" s="7">
        <v>0</v>
      </c>
      <c r="G17" s="7">
        <f>C11</f>
        <v>0.31640625000000006</v>
      </c>
      <c r="H17" s="8" t="str">
        <f t="shared" ref="H17:H21" ca="1" si="1">_xlfn.FORMULATEXT(G17)</f>
        <v>=C11</v>
      </c>
      <c r="I17" s="7">
        <v>0</v>
      </c>
      <c r="J17" s="7">
        <f>I17*G17</f>
        <v>0</v>
      </c>
      <c r="K17" s="8" t="str">
        <f ca="1">_xlfn.FORMULATEXT(J17)</f>
        <v>=I17*G17</v>
      </c>
    </row>
    <row r="18" spans="2:11">
      <c r="B18" s="14" t="s">
        <v>99</v>
      </c>
      <c r="C18" s="13">
        <f>SUM(C15:C17)</f>
        <v>0.26171875000000006</v>
      </c>
      <c r="D18" s="8" t="str">
        <f t="shared" ca="1" si="0"/>
        <v>=SUM(C15:C17)</v>
      </c>
      <c r="F18" s="7">
        <v>1</v>
      </c>
      <c r="G18" s="7">
        <f>_xlfn.BINOM.DIST(1,C7,C8,FALSE)</f>
        <v>0.42187499999999994</v>
      </c>
      <c r="H18" s="8" t="str">
        <f t="shared" ca="1" si="1"/>
        <v>=BINOM.DIST(1,C7,C8,FALSE)</v>
      </c>
      <c r="I18" s="7">
        <v>20000</v>
      </c>
      <c r="J18" s="7">
        <f>I18*G18</f>
        <v>8437.4999999999982</v>
      </c>
    </row>
    <row r="19" spans="2:11">
      <c r="F19" s="7">
        <v>2</v>
      </c>
      <c r="G19" s="7">
        <f>C15</f>
        <v>0.21093750000000003</v>
      </c>
      <c r="H19" s="8" t="str">
        <f t="shared" ca="1" si="1"/>
        <v>=C15</v>
      </c>
      <c r="I19" s="7">
        <v>30000</v>
      </c>
      <c r="J19" s="7">
        <f>I19*G19</f>
        <v>6328.1250000000009</v>
      </c>
    </row>
    <row r="20" spans="2:11">
      <c r="F20" s="7">
        <v>3</v>
      </c>
      <c r="G20" s="7">
        <f>C16</f>
        <v>4.6875000000000007E-2</v>
      </c>
      <c r="H20" s="8" t="str">
        <f t="shared" ca="1" si="1"/>
        <v>=C16</v>
      </c>
      <c r="I20" s="7">
        <v>60000</v>
      </c>
      <c r="J20" s="7">
        <f>I20*G20</f>
        <v>2812.5000000000005</v>
      </c>
    </row>
    <row r="21" spans="2:11">
      <c r="F21" s="7">
        <v>4</v>
      </c>
      <c r="G21" s="7">
        <f>C17</f>
        <v>3.9062500000000009E-3</v>
      </c>
      <c r="H21" s="8" t="str">
        <f t="shared" ca="1" si="1"/>
        <v>=C17</v>
      </c>
      <c r="I21" s="7">
        <v>125000</v>
      </c>
      <c r="J21" s="7">
        <f>I21*G21</f>
        <v>488.28125000000011</v>
      </c>
      <c r="K21" s="8" t="str">
        <f ca="1">_xlfn.FORMULATEXT(J21)</f>
        <v>=I21*G21</v>
      </c>
    </row>
    <row r="22" spans="2:11">
      <c r="F22" s="14" t="s">
        <v>2</v>
      </c>
      <c r="G22" s="7">
        <f>SUM(G17:G21)</f>
        <v>1</v>
      </c>
      <c r="H22" s="5"/>
      <c r="I22" s="7"/>
      <c r="J22" s="7">
        <f>SUM(J17:J21)</f>
        <v>18066.40625</v>
      </c>
    </row>
    <row r="23" spans="2:11">
      <c r="G23" s="8" t="s">
        <v>98</v>
      </c>
      <c r="J23" s="8" t="str">
        <f ca="1">_xlfn.FORMULATEXT(J22)</f>
        <v>=SUM(J17:J21)</v>
      </c>
    </row>
    <row r="25" spans="2:11">
      <c r="F25" s="4" t="s">
        <v>97</v>
      </c>
    </row>
    <row r="26" spans="2:11">
      <c r="F26" s="6" t="s">
        <v>96</v>
      </c>
      <c r="G26" s="5">
        <f>J22</f>
        <v>18066.40625</v>
      </c>
      <c r="H26" s="8" t="str">
        <f ca="1">_xlfn.FORMULATEXT(G26)</f>
        <v>=J22</v>
      </c>
    </row>
    <row r="28" spans="2:11">
      <c r="F28" s="4" t="s">
        <v>95</v>
      </c>
    </row>
    <row r="30" spans="2:11">
      <c r="F30" s="4" t="s">
        <v>94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scale="62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2"/>
  <sheetViews>
    <sheetView workbookViewId="0">
      <selection activeCell="D1" sqref="D1"/>
    </sheetView>
  </sheetViews>
  <sheetFormatPr defaultColWidth="9.140625" defaultRowHeight="15"/>
  <cols>
    <col min="1" max="1" width="9.140625" style="4"/>
    <col min="2" max="2" width="53.42578125" style="4" customWidth="1"/>
    <col min="3" max="3" width="16" style="4" customWidth="1"/>
    <col min="4" max="4" width="56.28515625" style="4" customWidth="1"/>
    <col min="5" max="16384" width="9.140625" style="4"/>
  </cols>
  <sheetData>
    <row r="1" spans="1:4">
      <c r="A1" s="4" t="s">
        <v>282</v>
      </c>
    </row>
    <row r="3" spans="1:4">
      <c r="A3" s="4" t="s">
        <v>239</v>
      </c>
    </row>
    <row r="5" spans="1:4">
      <c r="B5" s="41" t="s">
        <v>245</v>
      </c>
      <c r="C5" s="4">
        <v>100</v>
      </c>
    </row>
    <row r="6" spans="1:4" ht="16.5">
      <c r="B6" s="41" t="s">
        <v>244</v>
      </c>
      <c r="C6" s="4">
        <v>25</v>
      </c>
    </row>
    <row r="7" spans="1:4">
      <c r="B7" s="40" t="s">
        <v>219</v>
      </c>
      <c r="C7" s="4">
        <f>SQRT(C6)</f>
        <v>5</v>
      </c>
      <c r="D7" s="8" t="str">
        <f ca="1">_xlfn.FORMULATEXT(C7)</f>
        <v>=SQRT(C6)</v>
      </c>
    </row>
    <row r="9" spans="1:4">
      <c r="B9" s="39" t="s">
        <v>243</v>
      </c>
      <c r="C9" s="4">
        <f>_xlfn.NORM.S.DIST(-1, TRUE)</f>
        <v>0.15865525393145699</v>
      </c>
      <c r="D9" s="8" t="str">
        <f ca="1">_xlfn.FORMULATEXT(C9)</f>
        <v>=NORM.S.DIST(-1, TRUE)</v>
      </c>
    </row>
    <row r="10" spans="1:4">
      <c r="B10" s="9" t="s">
        <v>242</v>
      </c>
      <c r="C10" s="4">
        <f>_xlfn.NORM.S.DIST(1, TRUE)-_xlfn.NORM.S.DIST(-1,TRUE)</f>
        <v>0.68268949213708607</v>
      </c>
      <c r="D10" s="8" t="str">
        <f t="shared" ref="D10:D12" ca="1" si="0">_xlfn.FORMULATEXT(C10)</f>
        <v>=NORM.S.DIST(1, TRUE)-NORM.S.DIST(-1,TRUE)</v>
      </c>
    </row>
    <row r="11" spans="1:4">
      <c r="B11" s="4" t="s">
        <v>241</v>
      </c>
      <c r="C11" s="4">
        <f>_xlfn.NORM.S.DIST(3,TRUE)-_xlfn.NORM.S.DIST(1,TRUE)</f>
        <v>0.15730535589982686</v>
      </c>
      <c r="D11" s="8" t="str">
        <f t="shared" ca="1" si="0"/>
        <v>=NORM.S.DIST(3,TRUE)-NORM.S.DIST(1,TRUE)</v>
      </c>
    </row>
    <row r="12" spans="1:4">
      <c r="B12" s="4" t="s">
        <v>240</v>
      </c>
      <c r="C12" s="4">
        <f>_xlfn.NORM.S.DIST(-0.2,TRUE)-_xlfn.NORM.S.DIST(-1.4,TRUE)</f>
        <v>0.33998363132712589</v>
      </c>
      <c r="D12" s="8" t="str">
        <f t="shared" ca="1" si="0"/>
        <v>=NORM.S.DIST(-0.2,TRUE)-NORM.S.DIST(-1.4,TRUE)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scale="95" orientation="landscape" horizontalDpi="0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29"/>
  <sheetViews>
    <sheetView workbookViewId="0">
      <selection activeCell="G23" sqref="G23"/>
    </sheetView>
  </sheetViews>
  <sheetFormatPr defaultColWidth="9.140625" defaultRowHeight="15"/>
  <cols>
    <col min="1" max="1" width="9.140625" style="4"/>
    <col min="2" max="2" width="17.28515625" style="4" customWidth="1"/>
    <col min="3" max="3" width="18.85546875" style="4" customWidth="1"/>
    <col min="4" max="4" width="41.42578125" style="4" customWidth="1"/>
    <col min="5" max="5" width="18" style="4" customWidth="1"/>
    <col min="6" max="6" width="11.28515625" style="4" customWidth="1"/>
    <col min="7" max="7" width="19.5703125" style="4" customWidth="1"/>
    <col min="8" max="16384" width="9.140625" style="4"/>
  </cols>
  <sheetData>
    <row r="1" spans="1:7">
      <c r="A1" s="4" t="s">
        <v>272</v>
      </c>
    </row>
    <row r="3" spans="1:7">
      <c r="B3" s="4" t="s">
        <v>119</v>
      </c>
    </row>
    <row r="4" spans="1:7">
      <c r="B4" s="4" t="s">
        <v>113</v>
      </c>
      <c r="C4" s="4">
        <v>1.2</v>
      </c>
    </row>
    <row r="5" spans="1:7">
      <c r="B5" s="4" t="s">
        <v>118</v>
      </c>
    </row>
    <row r="7" spans="1:7">
      <c r="B7" s="7" t="s">
        <v>7</v>
      </c>
      <c r="C7" s="7" t="s">
        <v>8</v>
      </c>
      <c r="E7" s="7" t="s">
        <v>1</v>
      </c>
      <c r="F7" s="5"/>
      <c r="G7" s="7" t="s">
        <v>117</v>
      </c>
    </row>
    <row r="8" spans="1:7">
      <c r="B8" s="7">
        <v>0</v>
      </c>
      <c r="C8" s="7">
        <f t="shared" ref="C8:C20" si="0">_xlfn.POISSON.DIST(B8,$C$4,FALSE)</f>
        <v>0.30119421191220214</v>
      </c>
      <c r="D8" s="8" t="str">
        <f ca="1">_xlfn.FORMULATEXT(C8)</f>
        <v>=POISSON.DIST(B8,$C$4,FALSE)</v>
      </c>
      <c r="E8" s="7">
        <f t="shared" ref="E8:E20" si="1">B8*C8</f>
        <v>0</v>
      </c>
      <c r="F8" s="5"/>
      <c r="G8" s="7">
        <f t="shared" ref="G8:G20" si="2">E8*B8</f>
        <v>0</v>
      </c>
    </row>
    <row r="9" spans="1:7">
      <c r="B9" s="7">
        <v>1</v>
      </c>
      <c r="C9" s="7">
        <f t="shared" si="0"/>
        <v>0.36143305429464251</v>
      </c>
      <c r="E9" s="7">
        <f t="shared" si="1"/>
        <v>0.36143305429464251</v>
      </c>
      <c r="F9" s="5"/>
      <c r="G9" s="7">
        <f t="shared" si="2"/>
        <v>0.36143305429464251</v>
      </c>
    </row>
    <row r="10" spans="1:7">
      <c r="B10" s="7">
        <v>2</v>
      </c>
      <c r="C10" s="7">
        <f t="shared" si="0"/>
        <v>0.21685983257678554</v>
      </c>
      <c r="E10" s="7">
        <f t="shared" si="1"/>
        <v>0.43371966515357108</v>
      </c>
      <c r="F10" s="5"/>
      <c r="G10" s="7">
        <f t="shared" si="2"/>
        <v>0.86743933030714215</v>
      </c>
    </row>
    <row r="11" spans="1:7">
      <c r="B11" s="7">
        <v>3</v>
      </c>
      <c r="C11" s="7">
        <f t="shared" si="0"/>
        <v>8.6743933030714204E-2</v>
      </c>
      <c r="E11" s="7">
        <f t="shared" si="1"/>
        <v>0.26023179909214261</v>
      </c>
      <c r="F11" s="5"/>
      <c r="G11" s="7">
        <f t="shared" si="2"/>
        <v>0.78069539727642789</v>
      </c>
    </row>
    <row r="12" spans="1:7">
      <c r="B12" s="7">
        <v>4</v>
      </c>
      <c r="C12" s="7">
        <f t="shared" si="0"/>
        <v>2.6023179909214253E-2</v>
      </c>
      <c r="E12" s="7">
        <f t="shared" si="1"/>
        <v>0.10409271963685701</v>
      </c>
      <c r="F12" s="5"/>
      <c r="G12" s="7">
        <f t="shared" si="2"/>
        <v>0.41637087854742805</v>
      </c>
    </row>
    <row r="13" spans="1:7">
      <c r="B13" s="7">
        <v>5</v>
      </c>
      <c r="C13" s="7">
        <f t="shared" si="0"/>
        <v>6.2455631782114196E-3</v>
      </c>
      <c r="E13" s="7">
        <f t="shared" si="1"/>
        <v>3.1227815891057099E-2</v>
      </c>
      <c r="F13" s="5"/>
      <c r="G13" s="7">
        <f t="shared" si="2"/>
        <v>0.15613907945528549</v>
      </c>
    </row>
    <row r="14" spans="1:7">
      <c r="B14" s="7">
        <v>6</v>
      </c>
      <c r="C14" s="7">
        <f t="shared" si="0"/>
        <v>1.249112635642285E-3</v>
      </c>
      <c r="E14" s="7">
        <f t="shared" si="1"/>
        <v>7.4946758138537102E-3</v>
      </c>
      <c r="F14" s="5"/>
      <c r="G14" s="7">
        <f t="shared" si="2"/>
        <v>4.4968054883122263E-2</v>
      </c>
    </row>
    <row r="15" spans="1:7">
      <c r="B15" s="7">
        <v>7</v>
      </c>
      <c r="C15" s="7">
        <f t="shared" si="0"/>
        <v>2.1413359468153433E-4</v>
      </c>
      <c r="E15" s="7">
        <f t="shared" si="1"/>
        <v>1.4989351627707403E-3</v>
      </c>
      <c r="F15" s="5"/>
      <c r="G15" s="7">
        <f t="shared" si="2"/>
        <v>1.0492546139395181E-2</v>
      </c>
    </row>
    <row r="16" spans="1:7">
      <c r="B16" s="7">
        <v>8</v>
      </c>
      <c r="C16" s="7">
        <f t="shared" si="0"/>
        <v>3.2120039202230205E-5</v>
      </c>
      <c r="E16" s="7">
        <f t="shared" si="1"/>
        <v>2.5696031361784164E-4</v>
      </c>
      <c r="F16" s="5"/>
      <c r="G16" s="7">
        <f t="shared" si="2"/>
        <v>2.0556825089427331E-3</v>
      </c>
    </row>
    <row r="17" spans="2:7">
      <c r="B17" s="7">
        <v>9</v>
      </c>
      <c r="C17" s="7">
        <f t="shared" si="0"/>
        <v>4.2826718936307017E-6</v>
      </c>
      <c r="E17" s="7">
        <f t="shared" si="1"/>
        <v>3.8544047042676316E-5</v>
      </c>
      <c r="F17" s="5"/>
      <c r="G17" s="7">
        <f t="shared" si="2"/>
        <v>3.4689642338408687E-4</v>
      </c>
    </row>
    <row r="18" spans="2:7">
      <c r="B18" s="7">
        <v>10</v>
      </c>
      <c r="C18" s="7">
        <f t="shared" si="0"/>
        <v>5.1392062723568251E-7</v>
      </c>
      <c r="E18" s="7">
        <f t="shared" si="1"/>
        <v>5.1392062723568251E-6</v>
      </c>
      <c r="F18" s="5"/>
      <c r="G18" s="7">
        <f t="shared" si="2"/>
        <v>5.1392062723568254E-5</v>
      </c>
    </row>
    <row r="19" spans="2:7">
      <c r="B19" s="7">
        <v>11</v>
      </c>
      <c r="C19" s="7">
        <f t="shared" si="0"/>
        <v>5.6064068425710646E-8</v>
      </c>
      <c r="E19" s="7">
        <f t="shared" si="1"/>
        <v>6.1670475268281712E-7</v>
      </c>
      <c r="F19" s="5"/>
      <c r="G19" s="7">
        <f t="shared" si="2"/>
        <v>6.7837522795109883E-6</v>
      </c>
    </row>
    <row r="20" spans="2:7">
      <c r="B20" s="7">
        <v>12</v>
      </c>
      <c r="C20" s="7">
        <f t="shared" si="0"/>
        <v>5.6064068425710666E-9</v>
      </c>
      <c r="D20" s="8" t="str">
        <f ca="1">_xlfn.FORMULATEXT(C20)</f>
        <v>=POISSON.DIST(B20,$C$4,FALSE)</v>
      </c>
      <c r="E20" s="7">
        <f t="shared" si="1"/>
        <v>6.72768821108528E-8</v>
      </c>
      <c r="F20" s="5"/>
      <c r="G20" s="7">
        <f t="shared" si="2"/>
        <v>8.0732258533023354E-7</v>
      </c>
    </row>
    <row r="21" spans="2:7">
      <c r="B21" s="5" t="s">
        <v>116</v>
      </c>
      <c r="D21" s="6" t="s">
        <v>2</v>
      </c>
      <c r="E21" s="7">
        <f>SUM(E8:E20)</f>
        <v>1.1999999925934621</v>
      </c>
      <c r="G21" s="7">
        <f>SUM(G8:G20)</f>
        <v>2.6399999029733587</v>
      </c>
    </row>
    <row r="22" spans="2:7">
      <c r="E22" s="8" t="str">
        <f ca="1">_xlfn.FORMULATEXT(E21)</f>
        <v>=SUM(E8:E20)</v>
      </c>
      <c r="G22" s="8" t="str">
        <f ca="1">_xlfn.FORMULATEXT(G21)</f>
        <v>=SUM(G8:G20)</v>
      </c>
    </row>
    <row r="23" spans="2:7">
      <c r="B23" s="4" t="s">
        <v>115</v>
      </c>
    </row>
    <row r="24" spans="2:7">
      <c r="B24" s="14" t="s">
        <v>114</v>
      </c>
      <c r="C24" s="13">
        <f>1-SUM(C8:C14)</f>
        <v>2.5111246258768816E-4</v>
      </c>
      <c r="D24" s="8" t="str">
        <f t="shared" ref="D24:D25" ca="1" si="3">_xlfn.FORMULATEXT(C24)</f>
        <v>=1-SUM(C8:C14)</v>
      </c>
    </row>
    <row r="25" spans="2:7">
      <c r="B25" s="13"/>
      <c r="C25" s="13">
        <f>1-_xlfn.POISSON.DIST(6,1.2,TRUE)</f>
        <v>2.5111246258768816E-4</v>
      </c>
      <c r="D25" s="8" t="str">
        <f t="shared" ca="1" si="3"/>
        <v>=1-POISSON.DIST(6,1.2,TRUE)</v>
      </c>
    </row>
    <row r="27" spans="2:7">
      <c r="B27" s="13" t="s">
        <v>113</v>
      </c>
      <c r="C27" s="13">
        <f>E21</f>
        <v>1.1999999925934621</v>
      </c>
      <c r="D27" s="8" t="str">
        <f t="shared" ref="D27:D28" ca="1" si="4">_xlfn.FORMULATEXT(C27)</f>
        <v>=E21</v>
      </c>
    </row>
    <row r="28" spans="2:7">
      <c r="B28" s="13" t="s">
        <v>112</v>
      </c>
      <c r="C28" s="13">
        <f>G21-C27^2</f>
        <v>1.1999999207490495</v>
      </c>
      <c r="D28" s="8" t="str">
        <f t="shared" ca="1" si="4"/>
        <v>=G21-C27^2</v>
      </c>
    </row>
    <row r="29" spans="2:7">
      <c r="B29" s="4" t="s">
        <v>111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scale="95" orientation="landscape" horizontalDpi="0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E14"/>
  <sheetViews>
    <sheetView workbookViewId="0">
      <selection activeCell="E15" sqref="E15"/>
    </sheetView>
  </sheetViews>
  <sheetFormatPr defaultColWidth="9.140625" defaultRowHeight="15"/>
  <cols>
    <col min="1" max="1" width="9.140625" style="4"/>
    <col min="2" max="2" width="14.140625" style="4" customWidth="1"/>
    <col min="3" max="3" width="17.85546875" style="4" customWidth="1"/>
    <col min="4" max="4" width="18.42578125" style="4" customWidth="1"/>
    <col min="5" max="5" width="65.7109375" style="4" customWidth="1"/>
    <col min="6" max="16384" width="9.140625" style="4"/>
  </cols>
  <sheetData>
    <row r="1" spans="1:5">
      <c r="A1" s="4" t="s">
        <v>273</v>
      </c>
    </row>
    <row r="3" spans="1:5">
      <c r="B3" s="4" t="s">
        <v>125</v>
      </c>
    </row>
    <row r="4" spans="1:5">
      <c r="B4" s="4" t="s">
        <v>124</v>
      </c>
    </row>
    <row r="6" spans="1:5">
      <c r="B6" s="6" t="s">
        <v>4</v>
      </c>
      <c r="C6" s="4">
        <v>2</v>
      </c>
    </row>
    <row r="8" spans="1:5">
      <c r="B8" s="4" t="s">
        <v>123</v>
      </c>
    </row>
    <row r="9" spans="1:5">
      <c r="C9" s="6" t="s">
        <v>68</v>
      </c>
      <c r="D9" s="4">
        <f>_xlfn.POISSON.DIST(1,C6,FALSE)</f>
        <v>0.27067056647322535</v>
      </c>
      <c r="E9" s="8" t="str">
        <f ca="1">_xlfn.FORMULATEXT(D9)</f>
        <v>=POISSON.DIST(1,C6,FALSE)</v>
      </c>
    </row>
    <row r="11" spans="1:5">
      <c r="B11" s="4" t="s">
        <v>122</v>
      </c>
    </row>
    <row r="12" spans="1:5">
      <c r="C12" s="4" t="s">
        <v>121</v>
      </c>
    </row>
    <row r="13" spans="1:5">
      <c r="C13" s="6" t="s">
        <v>120</v>
      </c>
      <c r="D13" s="4">
        <f>1-_xlfn.POISSON.DIST(0,C6,FALSE)-_xlfn.POISSON.DIST(1,C6,FALSE)</f>
        <v>0.593994150290162</v>
      </c>
      <c r="E13" s="8" t="str">
        <f t="shared" ref="E13:E14" ca="1" si="0">_xlfn.FORMULATEXT(D13)</f>
        <v>=1-POISSON.DIST(0,C6,FALSE)-POISSON.DIST(1,C6,FALSE)</v>
      </c>
    </row>
    <row r="14" spans="1:5">
      <c r="D14" s="4">
        <f>1-_xlfn.POISSON.DIST(1,C6,TRUE)</f>
        <v>0.59399415029016189</v>
      </c>
      <c r="E14" s="8" t="str">
        <f t="shared" ca="1" si="0"/>
        <v>=1-POISSON.DIST(1,C6,TRUE)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D21"/>
  <sheetViews>
    <sheetView workbookViewId="0">
      <selection activeCell="D22" sqref="D22"/>
    </sheetView>
  </sheetViews>
  <sheetFormatPr defaultColWidth="9.140625" defaultRowHeight="15"/>
  <cols>
    <col min="1" max="1" width="9.140625" style="4"/>
    <col min="2" max="2" width="27.85546875" style="4" customWidth="1"/>
    <col min="3" max="3" width="17.7109375" style="4" customWidth="1"/>
    <col min="4" max="4" width="39.42578125" style="4" customWidth="1"/>
    <col min="5" max="16384" width="9.140625" style="4"/>
  </cols>
  <sheetData>
    <row r="1" spans="1:4">
      <c r="A1" s="4" t="s">
        <v>270</v>
      </c>
    </row>
    <row r="3" spans="1:4">
      <c r="B3" s="4" t="s">
        <v>135</v>
      </c>
    </row>
    <row r="4" spans="1:4">
      <c r="B4" s="4" t="s">
        <v>134</v>
      </c>
    </row>
    <row r="5" spans="1:4">
      <c r="B5" s="4" t="s">
        <v>133</v>
      </c>
    </row>
    <row r="7" spans="1:4">
      <c r="B7" s="6" t="s">
        <v>57</v>
      </c>
      <c r="C7" s="4">
        <f>0.25/100</f>
        <v>2.5000000000000001E-3</v>
      </c>
      <c r="D7" s="8" t="str">
        <f ca="1">_xlfn.FORMULATEXT(C7)</f>
        <v>=0.25/100</v>
      </c>
    </row>
    <row r="8" spans="1:4">
      <c r="B8" s="6" t="s">
        <v>50</v>
      </c>
      <c r="C8" s="4">
        <v>200</v>
      </c>
    </row>
    <row r="10" spans="1:4">
      <c r="B10" s="4" t="s">
        <v>132</v>
      </c>
    </row>
    <row r="12" spans="1:4">
      <c r="B12" s="4" t="s">
        <v>131</v>
      </c>
    </row>
    <row r="14" spans="1:4">
      <c r="B14" s="6" t="s">
        <v>130</v>
      </c>
      <c r="C14" s="4">
        <f>C8*C7</f>
        <v>0.5</v>
      </c>
      <c r="D14" s="8" t="str">
        <f t="shared" ref="D14:D15" ca="1" si="0">_xlfn.FORMULATEXT(C14)</f>
        <v>=C8*C7</v>
      </c>
    </row>
    <row r="15" spans="1:4">
      <c r="B15" s="6" t="s">
        <v>129</v>
      </c>
      <c r="C15" s="4">
        <f>C14*(1-C7)</f>
        <v>0.49875000000000003</v>
      </c>
      <c r="D15" s="8" t="str">
        <f t="shared" ca="1" si="0"/>
        <v>=C14*(1-C7)</v>
      </c>
    </row>
    <row r="17" spans="2:4">
      <c r="B17" s="4" t="s">
        <v>128</v>
      </c>
    </row>
    <row r="19" spans="2:4">
      <c r="B19" s="6" t="s">
        <v>127</v>
      </c>
      <c r="C19" s="4">
        <f>1-_xlfn.POISSON.DIST(0,C14,FALSE)</f>
        <v>0.39346934028736658</v>
      </c>
      <c r="D19" s="8" t="str">
        <f ca="1">_xlfn.FORMULATEXT(C19)</f>
        <v>=1-POISSON.DIST(0,C14,FALSE)</v>
      </c>
    </row>
    <row r="21" spans="2:4">
      <c r="B21" s="6" t="s">
        <v>126</v>
      </c>
      <c r="C21" s="4">
        <f>1-_xlfn.BINOM.DIST(0,C8,C7,FALSE)</f>
        <v>0.39384893610529326</v>
      </c>
      <c r="D21" s="8" t="str">
        <f ca="1">_xlfn.FORMULATEXT(C21)</f>
        <v>=1-BINOM.DIST(0,C8,C7,FALSE)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E17"/>
  <sheetViews>
    <sheetView workbookViewId="0">
      <selection activeCell="E18" sqref="E18"/>
    </sheetView>
  </sheetViews>
  <sheetFormatPr defaultColWidth="9.140625" defaultRowHeight="15"/>
  <cols>
    <col min="1" max="2" width="9.140625" style="4"/>
    <col min="3" max="3" width="21.140625" style="4" customWidth="1"/>
    <col min="4" max="4" width="18.7109375" style="4" customWidth="1"/>
    <col min="5" max="5" width="34.42578125" style="4" customWidth="1"/>
    <col min="6" max="16384" width="9.140625" style="4"/>
  </cols>
  <sheetData>
    <row r="1" spans="1:5">
      <c r="A1" s="4" t="s">
        <v>271</v>
      </c>
    </row>
    <row r="2" spans="1:5">
      <c r="B2" s="4" t="s">
        <v>145</v>
      </c>
    </row>
    <row r="3" spans="1:5">
      <c r="B3" s="4" t="s">
        <v>144</v>
      </c>
    </row>
    <row r="5" spans="1:5">
      <c r="B5" s="4" t="s">
        <v>143</v>
      </c>
    </row>
    <row r="6" spans="1:5">
      <c r="C6" s="6"/>
    </row>
    <row r="7" spans="1:5">
      <c r="C7" s="6" t="s">
        <v>142</v>
      </c>
      <c r="D7" s="4">
        <v>0.1</v>
      </c>
    </row>
    <row r="8" spans="1:5">
      <c r="C8" s="6" t="s">
        <v>141</v>
      </c>
      <c r="D8" s="4">
        <v>4</v>
      </c>
    </row>
    <row r="9" spans="1:5">
      <c r="C9" s="6" t="s">
        <v>140</v>
      </c>
      <c r="D9" s="4">
        <f>D8*D7</f>
        <v>0.4</v>
      </c>
      <c r="E9" s="8" t="str">
        <f ca="1">_xlfn.FORMULATEXT(D9)</f>
        <v>=D8*D7</v>
      </c>
    </row>
    <row r="11" spans="1:5">
      <c r="C11" s="6" t="s">
        <v>69</v>
      </c>
      <c r="D11" s="4">
        <f>_xlfn.POISSON.DIST(0,D9,FALSE)</f>
        <v>0.67032004603563933</v>
      </c>
      <c r="E11" s="8" t="str">
        <f ca="1">_xlfn.FORMULATEXT(D11)</f>
        <v>=POISSON.DIST(0,D9,FALSE)</v>
      </c>
    </row>
    <row r="13" spans="1:5">
      <c r="B13" s="4" t="s">
        <v>139</v>
      </c>
    </row>
    <row r="15" spans="1:5">
      <c r="C15" s="6" t="s">
        <v>138</v>
      </c>
      <c r="D15" s="4">
        <v>0.95</v>
      </c>
    </row>
    <row r="16" spans="1:5">
      <c r="C16" s="6" t="s">
        <v>137</v>
      </c>
      <c r="D16" s="4">
        <f>LN(D15)</f>
        <v>-5.1293294387550578E-2</v>
      </c>
      <c r="E16" s="8" t="str">
        <f t="shared" ref="E16:E17" ca="1" si="0">_xlfn.FORMULATEXT(D16)</f>
        <v>=LN(D15)</v>
      </c>
    </row>
    <row r="17" spans="3:5">
      <c r="C17" s="6" t="s">
        <v>136</v>
      </c>
      <c r="D17" s="4">
        <f>-D16/0.1</f>
        <v>0.5129329438755057</v>
      </c>
      <c r="E17" s="8" t="str">
        <f t="shared" ca="1" si="0"/>
        <v>=-D16/0.1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O19"/>
  <sheetViews>
    <sheetView workbookViewId="0">
      <selection activeCell="O19" sqref="O19"/>
    </sheetView>
  </sheetViews>
  <sheetFormatPr defaultColWidth="9.140625" defaultRowHeight="15"/>
  <cols>
    <col min="1" max="2" width="9.140625" style="4"/>
    <col min="3" max="3" width="12.42578125" style="4" customWidth="1"/>
    <col min="4" max="4" width="15.42578125" style="4" customWidth="1"/>
    <col min="5" max="5" width="36" style="4" customWidth="1"/>
    <col min="6" max="6" width="17.7109375" style="4" customWidth="1"/>
    <col min="7" max="7" width="13.28515625" style="4" customWidth="1"/>
    <col min="8" max="9" width="9.140625" style="4"/>
    <col min="10" max="10" width="30.5703125" style="4" customWidth="1"/>
    <col min="11" max="12" width="18.28515625" style="4" customWidth="1"/>
    <col min="13" max="13" width="13.42578125" style="4" customWidth="1"/>
    <col min="14" max="14" width="9.140625" style="4"/>
    <col min="15" max="15" width="12.28515625" style="4" customWidth="1"/>
    <col min="16" max="16384" width="9.140625" style="4"/>
  </cols>
  <sheetData>
    <row r="1" spans="1:15">
      <c r="A1" s="4" t="s">
        <v>271</v>
      </c>
    </row>
    <row r="2" spans="1:15">
      <c r="B2" s="4" t="s">
        <v>157</v>
      </c>
    </row>
    <row r="3" spans="1:15">
      <c r="B3" s="6" t="s">
        <v>113</v>
      </c>
      <c r="C3" s="4">
        <v>2</v>
      </c>
    </row>
    <row r="4" spans="1:15">
      <c r="B4" s="6" t="s">
        <v>50</v>
      </c>
      <c r="C4" s="4">
        <v>3</v>
      </c>
    </row>
    <row r="6" spans="1:15">
      <c r="B6" s="4" t="s">
        <v>156</v>
      </c>
      <c r="I6" s="4" t="s">
        <v>155</v>
      </c>
    </row>
    <row r="8" spans="1:15">
      <c r="C8" s="5" t="s">
        <v>7</v>
      </c>
      <c r="D8" s="5" t="s">
        <v>8</v>
      </c>
      <c r="F8" s="5" t="s">
        <v>19</v>
      </c>
      <c r="J8" s="6" t="s">
        <v>154</v>
      </c>
      <c r="K8" s="4">
        <v>25</v>
      </c>
    </row>
    <row r="9" spans="1:15">
      <c r="C9" s="5">
        <v>0</v>
      </c>
      <c r="D9" s="5">
        <f>_xlfn.POISSON.DIST(C9,$C$3,FALSE)</f>
        <v>0.1353352832366127</v>
      </c>
      <c r="E9" s="8" t="str">
        <f ca="1">_xlfn.FORMULATEXT(D9)</f>
        <v>=POISSON.DIST(C9,$C$3,FALSE)</v>
      </c>
      <c r="F9" s="5">
        <f>C9*D9</f>
        <v>0</v>
      </c>
      <c r="G9" s="8" t="str">
        <f ca="1">_xlfn.FORMULATEXT(F9)</f>
        <v>=C9*D9</v>
      </c>
      <c r="J9" s="6" t="s">
        <v>153</v>
      </c>
      <c r="K9" s="4">
        <v>5</v>
      </c>
    </row>
    <row r="10" spans="1:15">
      <c r="C10" s="5">
        <v>1</v>
      </c>
      <c r="D10" s="5">
        <f>_xlfn.POISSON.DIST(C10,$C$3,FALSE)</f>
        <v>0.27067056647322535</v>
      </c>
      <c r="F10" s="5">
        <f>C10*D10</f>
        <v>0.27067056647322535</v>
      </c>
      <c r="J10" s="6" t="s">
        <v>152</v>
      </c>
      <c r="K10" s="4">
        <f>K8-K9</f>
        <v>20</v>
      </c>
    </row>
    <row r="11" spans="1:15">
      <c r="C11" s="5">
        <v>2</v>
      </c>
      <c r="D11" s="5">
        <f>_xlfn.POISSON.DIST(C11,$C$3,FALSE)</f>
        <v>0.27067056647322546</v>
      </c>
      <c r="F11" s="5">
        <f>C11*D11</f>
        <v>0.54134113294645092</v>
      </c>
    </row>
    <row r="12" spans="1:15">
      <c r="C12" s="5">
        <v>3</v>
      </c>
      <c r="D12" s="5">
        <f>_xlfn.POISSON.DIST(C12,$C$3,FALSE)</f>
        <v>0.18044704431548364</v>
      </c>
      <c r="E12" s="8" t="str">
        <f ca="1">_xlfn.FORMULATEXT(D12)</f>
        <v>=POISSON.DIST(C12,$C$3,FALSE)</v>
      </c>
      <c r="F12" s="5">
        <f>C12*D12</f>
        <v>0.54134113294645092</v>
      </c>
      <c r="G12" s="8" t="str">
        <f ca="1">_xlfn.FORMULATEXT(F12)</f>
        <v>=C12*D12</v>
      </c>
      <c r="J12" s="5" t="s">
        <v>151</v>
      </c>
      <c r="K12" s="5" t="s">
        <v>150</v>
      </c>
      <c r="M12" s="5" t="s">
        <v>8</v>
      </c>
      <c r="O12" s="5" t="s">
        <v>149</v>
      </c>
    </row>
    <row r="13" spans="1:15">
      <c r="E13" s="6" t="s">
        <v>0</v>
      </c>
      <c r="F13" s="5">
        <f>SUM(F9:F12)</f>
        <v>1.3533528323661272</v>
      </c>
      <c r="J13" s="5">
        <v>0</v>
      </c>
      <c r="K13" s="5">
        <f>J13*$K$10</f>
        <v>0</v>
      </c>
      <c r="L13" s="8" t="str">
        <f ca="1">_xlfn.FORMULATEXT(K13)</f>
        <v>=J13*$K$10</v>
      </c>
      <c r="M13" s="5">
        <f>D9</f>
        <v>0.1353352832366127</v>
      </c>
      <c r="N13" s="8" t="str">
        <f ca="1">_xlfn.FORMULATEXT(M13)</f>
        <v>=D9</v>
      </c>
      <c r="O13" s="5">
        <f>K13*M13</f>
        <v>0</v>
      </c>
    </row>
    <row r="14" spans="1:15">
      <c r="F14" s="8" t="str">
        <f ca="1">_xlfn.FORMULATEXT(F13)</f>
        <v>=SUM(F9:F12)</v>
      </c>
      <c r="J14" s="5">
        <v>1</v>
      </c>
      <c r="K14" s="5">
        <f>J14*$K$10</f>
        <v>20</v>
      </c>
      <c r="M14" s="5">
        <f>D10</f>
        <v>0.27067056647322535</v>
      </c>
      <c r="O14" s="5">
        <f>K14*M14</f>
        <v>5.4134113294645072</v>
      </c>
    </row>
    <row r="15" spans="1:15">
      <c r="J15" s="5">
        <v>2</v>
      </c>
      <c r="K15" s="5">
        <f>J15*$K$10</f>
        <v>40</v>
      </c>
      <c r="M15" s="5">
        <f>D11</f>
        <v>0.27067056647322546</v>
      </c>
      <c r="O15" s="5">
        <f>K15*M15</f>
        <v>10.826822658929018</v>
      </c>
    </row>
    <row r="16" spans="1:15">
      <c r="C16" s="9" t="s">
        <v>148</v>
      </c>
      <c r="J16" s="5">
        <v>3</v>
      </c>
      <c r="K16" s="5">
        <f>J16*$K$10</f>
        <v>60</v>
      </c>
      <c r="L16" s="8" t="str">
        <f ca="1">_xlfn.FORMULATEXT(K16)</f>
        <v>=J16*$K$10</v>
      </c>
      <c r="M16" s="5">
        <f>D12</f>
        <v>0.18044704431548364</v>
      </c>
      <c r="N16" s="8" t="str">
        <f ca="1">_xlfn.FORMULATEXT(M16)</f>
        <v>=D12</v>
      </c>
      <c r="O16" s="5">
        <f>K16*M16</f>
        <v>10.826822658929018</v>
      </c>
    </row>
    <row r="17" spans="4:15">
      <c r="N17" s="6" t="s">
        <v>2</v>
      </c>
      <c r="O17" s="5">
        <f>SUM(O13:O16)</f>
        <v>27.067056647322545</v>
      </c>
    </row>
    <row r="18" spans="4:15">
      <c r="D18" s="6" t="s">
        <v>147</v>
      </c>
      <c r="E18" s="9">
        <f>F13</f>
        <v>1.3533528323661272</v>
      </c>
      <c r="F18" s="8" t="str">
        <f ca="1">_xlfn.FORMULATEXT(E18)</f>
        <v>=F13</v>
      </c>
      <c r="O18" s="8" t="str">
        <f ca="1">_xlfn.FORMULATEXT(O17)</f>
        <v>=SUM(O13:O16)</v>
      </c>
    </row>
    <row r="19" spans="4:15">
      <c r="J19" s="6" t="s">
        <v>146</v>
      </c>
      <c r="K19" s="4">
        <f>O17</f>
        <v>27.067056647322545</v>
      </c>
      <c r="L19" s="8" t="str">
        <f ca="1">_xlfn.FORMULATEXT(K19)</f>
        <v>=O17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scale="55" orientation="landscape" horizontalDpi="0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D14"/>
  <sheetViews>
    <sheetView workbookViewId="0">
      <selection activeCell="D15" sqref="D15"/>
    </sheetView>
  </sheetViews>
  <sheetFormatPr defaultColWidth="9.140625" defaultRowHeight="15"/>
  <cols>
    <col min="1" max="1" width="9.140625" style="4"/>
    <col min="2" max="2" width="20.5703125" style="4" customWidth="1"/>
    <col min="3" max="3" width="16.7109375" style="4" customWidth="1"/>
    <col min="4" max="4" width="68" style="4" customWidth="1"/>
    <col min="5" max="16384" width="9.140625" style="4"/>
  </cols>
  <sheetData>
    <row r="1" spans="1:4">
      <c r="A1" s="4" t="s">
        <v>269</v>
      </c>
    </row>
    <row r="3" spans="1:4">
      <c r="B3" s="4" t="s">
        <v>161</v>
      </c>
    </row>
    <row r="4" spans="1:4">
      <c r="B4" s="4" t="s">
        <v>160</v>
      </c>
    </row>
    <row r="6" spans="1:4">
      <c r="B6" s="6" t="s">
        <v>4</v>
      </c>
      <c r="C6" s="4">
        <v>2.6</v>
      </c>
    </row>
    <row r="8" spans="1:4">
      <c r="B8" s="4" t="s">
        <v>159</v>
      </c>
    </row>
    <row r="9" spans="1:4">
      <c r="B9" s="6" t="s">
        <v>69</v>
      </c>
      <c r="C9" s="4">
        <f>_xlfn.POISSON.DIST(0,C6,FALSE)</f>
        <v>7.4273578214333877E-2</v>
      </c>
      <c r="D9" s="8" t="str">
        <f ca="1">_xlfn.FORMULATEXT(C9)</f>
        <v>=POISSON.DIST(0,C6,FALSE)</v>
      </c>
    </row>
    <row r="11" spans="1:4">
      <c r="B11" s="4" t="s">
        <v>122</v>
      </c>
    </row>
    <row r="12" spans="1:4">
      <c r="B12" s="4" t="s">
        <v>158</v>
      </c>
    </row>
    <row r="13" spans="1:4">
      <c r="B13" s="6" t="s">
        <v>120</v>
      </c>
      <c r="C13" s="4">
        <f>1-(_xlfn.POISSON.DIST(0,C6,FALSE)+_xlfn.POISSON.DIST(1,C6,FALSE))</f>
        <v>0.73261511842839799</v>
      </c>
      <c r="D13" s="8" t="str">
        <f t="shared" ref="D13:D14" ca="1" si="0">_xlfn.FORMULATEXT(C13)</f>
        <v>=1-(POISSON.DIST(0,C6,FALSE)+POISSON.DIST(1,C6,FALSE))</v>
      </c>
    </row>
    <row r="14" spans="1:4">
      <c r="C14" s="4">
        <f>1-_xlfn.POISSON.DIST(1,C6,TRUE)</f>
        <v>0.73261511842839799</v>
      </c>
      <c r="D14" s="8" t="str">
        <f t="shared" ca="1" si="0"/>
        <v>=1-POISSON.DIST(1,C6,TRUE)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K11"/>
  <sheetViews>
    <sheetView workbookViewId="0">
      <selection activeCell="A2" sqref="A2"/>
    </sheetView>
  </sheetViews>
  <sheetFormatPr defaultColWidth="9.140625" defaultRowHeight="15"/>
  <cols>
    <col min="1" max="8" width="9.140625" style="1"/>
    <col min="9" max="9" width="22.140625" style="1" customWidth="1"/>
    <col min="10" max="16384" width="9.140625" style="1"/>
  </cols>
  <sheetData>
    <row r="1" spans="1:11">
      <c r="A1" s="1" t="s">
        <v>335</v>
      </c>
    </row>
    <row r="3" spans="1:11">
      <c r="B3" s="17"/>
      <c r="C3"/>
      <c r="D3"/>
      <c r="E3"/>
    </row>
    <row r="4" spans="1:11">
      <c r="B4" s="18"/>
      <c r="C4" s="19"/>
      <c r="D4" s="82" t="s">
        <v>182</v>
      </c>
      <c r="E4" s="82"/>
    </row>
    <row r="5" spans="1:11">
      <c r="B5" s="19"/>
      <c r="C5" s="19"/>
      <c r="D5" s="20" t="s">
        <v>180</v>
      </c>
      <c r="E5" s="20" t="s">
        <v>181</v>
      </c>
      <c r="F5" s="24" t="s">
        <v>179</v>
      </c>
      <c r="H5" s="1" t="s">
        <v>10</v>
      </c>
      <c r="I5" s="1" t="s">
        <v>185</v>
      </c>
    </row>
    <row r="6" spans="1:11">
      <c r="B6" s="83" t="s">
        <v>183</v>
      </c>
      <c r="C6" s="20" t="s">
        <v>180</v>
      </c>
      <c r="D6" s="22">
        <v>53</v>
      </c>
      <c r="E6" s="22">
        <v>11</v>
      </c>
      <c r="F6" s="24">
        <f>SUM(D6:E6)</f>
        <v>64</v>
      </c>
    </row>
    <row r="7" spans="1:11">
      <c r="B7" s="83"/>
      <c r="C7" s="21" t="s">
        <v>181</v>
      </c>
      <c r="D7" s="23">
        <v>23</v>
      </c>
      <c r="E7" s="23">
        <v>13</v>
      </c>
      <c r="F7" s="24">
        <f t="shared" ref="F7" si="0">SUM(D7:E7)</f>
        <v>36</v>
      </c>
      <c r="I7" s="3" t="s">
        <v>186</v>
      </c>
      <c r="J7" s="1">
        <f>D6/F6</f>
        <v>0.828125</v>
      </c>
      <c r="K7" s="2" t="str">
        <f ca="1">_xlfn.FORMULATEXT(J7)</f>
        <v>=D6/F6</v>
      </c>
    </row>
    <row r="8" spans="1:11">
      <c r="B8" s="17"/>
      <c r="C8" s="26" t="s">
        <v>179</v>
      </c>
      <c r="D8" s="27">
        <f>SUM(D6:D7)</f>
        <v>76</v>
      </c>
      <c r="E8" s="27">
        <f>SUM(E6:E7)</f>
        <v>24</v>
      </c>
      <c r="F8" s="24">
        <f>SUM(D8:E8)</f>
        <v>100</v>
      </c>
    </row>
    <row r="9" spans="1:11">
      <c r="B9" s="17"/>
      <c r="C9"/>
      <c r="D9"/>
      <c r="E9"/>
      <c r="H9" s="1" t="s">
        <v>177</v>
      </c>
      <c r="I9" s="1" t="s">
        <v>184</v>
      </c>
    </row>
    <row r="11" spans="1:11">
      <c r="I11" s="3" t="s">
        <v>187</v>
      </c>
      <c r="J11" s="1">
        <f>D6/D8</f>
        <v>0.69736842105263153</v>
      </c>
      <c r="K11" s="2" t="str">
        <f ca="1">_xlfn.FORMULATEXT(J11)</f>
        <v>=D6/D8</v>
      </c>
    </row>
  </sheetData>
  <mergeCells count="2">
    <mergeCell ref="D4:E4"/>
    <mergeCell ref="B6:B7"/>
  </mergeCells>
  <printOptions headings="1" gridLines="1"/>
  <pageMargins left="0.70866141732283472" right="0.70866141732283472" top="0.74803149606299213" bottom="0.74803149606299213" header="0.31496062992125984" footer="0.31496062992125984"/>
  <pageSetup paperSize="9" scale="82"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D12"/>
  <sheetViews>
    <sheetView workbookViewId="0">
      <selection activeCell="A2" sqref="A2"/>
    </sheetView>
  </sheetViews>
  <sheetFormatPr defaultColWidth="9.140625" defaultRowHeight="15"/>
  <cols>
    <col min="1" max="1" width="9.140625" style="4"/>
    <col min="2" max="2" width="30.42578125" style="4" customWidth="1"/>
    <col min="3" max="3" width="9.140625" style="4"/>
    <col min="4" max="4" width="30.140625" style="4" customWidth="1"/>
    <col min="5" max="16384" width="9.140625" style="4"/>
  </cols>
  <sheetData>
    <row r="1" spans="1:4">
      <c r="A1" s="4" t="s">
        <v>336</v>
      </c>
    </row>
    <row r="3" spans="1:4">
      <c r="B3" s="6" t="s">
        <v>332</v>
      </c>
      <c r="C3" s="4">
        <v>25000</v>
      </c>
    </row>
    <row r="4" spans="1:4">
      <c r="B4" s="6" t="s">
        <v>333</v>
      </c>
      <c r="C4" s="4">
        <v>5000</v>
      </c>
    </row>
    <row r="6" spans="1:4">
      <c r="B6" s="6" t="s">
        <v>47</v>
      </c>
      <c r="C6" s="4">
        <v>28000</v>
      </c>
    </row>
    <row r="8" spans="1:4">
      <c r="B8" s="6" t="s">
        <v>163</v>
      </c>
      <c r="C8" s="4">
        <f>1-_xlfn.NORM.DIST(C6,C3,C4,TRUE)</f>
        <v>0.27425311775007355</v>
      </c>
      <c r="D8" s="8" t="str">
        <f ca="1">_xlfn.FORMULATEXT(C8)</f>
        <v>=1-NORM.DIST(C6,C3,C4,TRUE)</v>
      </c>
    </row>
    <row r="10" spans="1:4">
      <c r="B10" s="6" t="s">
        <v>48</v>
      </c>
      <c r="C10" s="4">
        <f>(C6-C3)/C4</f>
        <v>0.6</v>
      </c>
      <c r="D10" s="8" t="str">
        <f ca="1">_xlfn.FORMULATEXT(C10)</f>
        <v>=(C6-C3)/C4</v>
      </c>
    </row>
    <row r="12" spans="1:4">
      <c r="B12" s="6" t="s">
        <v>162</v>
      </c>
      <c r="C12" s="4">
        <f>1-_xlfn.NORM.S.DIST(C10,TRUE)</f>
        <v>0.27425311775007355</v>
      </c>
      <c r="D12" s="8" t="str">
        <f ca="1">_xlfn.FORMULATEXT(C12)</f>
        <v>=1-NORM.S.DIST(C10,TRUE)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D23"/>
  <sheetViews>
    <sheetView workbookViewId="0">
      <selection activeCell="A2" sqref="A2"/>
    </sheetView>
  </sheetViews>
  <sheetFormatPr defaultColWidth="9.140625" defaultRowHeight="15"/>
  <cols>
    <col min="1" max="1" width="9.140625" style="1"/>
    <col min="2" max="2" width="18.7109375" style="1" customWidth="1"/>
    <col min="3" max="3" width="17" style="1" customWidth="1"/>
    <col min="4" max="4" width="56" style="1" customWidth="1"/>
    <col min="5" max="16384" width="9.140625" style="1"/>
  </cols>
  <sheetData>
    <row r="1" spans="1:3">
      <c r="A1" s="1" t="s">
        <v>337</v>
      </c>
    </row>
    <row r="3" spans="1:3">
      <c r="B3" s="1" t="s">
        <v>56</v>
      </c>
    </row>
    <row r="5" spans="1:3">
      <c r="B5" s="28" t="s">
        <v>57</v>
      </c>
      <c r="C5" s="25">
        <v>0.02</v>
      </c>
    </row>
    <row r="6" spans="1:3">
      <c r="B6" s="28" t="s">
        <v>50</v>
      </c>
      <c r="C6" s="25">
        <v>70</v>
      </c>
    </row>
    <row r="8" spans="1:3">
      <c r="B8" s="1" t="s">
        <v>190</v>
      </c>
    </row>
    <row r="10" spans="1:3">
      <c r="B10" s="1" t="s">
        <v>192</v>
      </c>
    </row>
    <row r="12" spans="1:3">
      <c r="B12" s="1" t="s">
        <v>191</v>
      </c>
    </row>
    <row r="14" spans="1:3">
      <c r="B14" s="1" t="s">
        <v>193</v>
      </c>
    </row>
    <row r="16" spans="1:3">
      <c r="B16" s="1" t="s">
        <v>188</v>
      </c>
    </row>
    <row r="18" spans="2:4">
      <c r="B18" s="28" t="s">
        <v>47</v>
      </c>
      <c r="C18" s="25">
        <v>4</v>
      </c>
    </row>
    <row r="19" spans="2:4">
      <c r="B19" s="28" t="s">
        <v>316</v>
      </c>
      <c r="C19" s="25">
        <f>1-_xlfn.BINOM.DIST(C18+1,C6,C5,TRUE)</f>
        <v>2.8129110472172592E-3</v>
      </c>
      <c r="D19" s="2" t="str">
        <f ca="1">_xlfn.FORMULATEXT(C19)</f>
        <v>=1-BINOM.DIST(C18+1,C6,C5,TRUE)</v>
      </c>
    </row>
    <row r="21" spans="2:4">
      <c r="B21" s="1" t="s">
        <v>194</v>
      </c>
    </row>
    <row r="23" spans="2:4">
      <c r="B23" s="1" t="s">
        <v>317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D25"/>
  <sheetViews>
    <sheetView workbookViewId="0">
      <selection activeCell="A2" sqref="A2"/>
    </sheetView>
  </sheetViews>
  <sheetFormatPr defaultColWidth="9.140625" defaultRowHeight="15"/>
  <cols>
    <col min="1" max="1" width="9.140625" style="1"/>
    <col min="2" max="2" width="37.7109375" style="1" customWidth="1"/>
    <col min="3" max="3" width="13.42578125" style="1" customWidth="1"/>
    <col min="4" max="4" width="72.7109375" style="1" customWidth="1"/>
    <col min="5" max="16384" width="9.140625" style="1"/>
  </cols>
  <sheetData>
    <row r="1" spans="1:4">
      <c r="A1" s="1" t="s">
        <v>338</v>
      </c>
    </row>
    <row r="3" spans="1:4">
      <c r="B3" s="25" t="s">
        <v>195</v>
      </c>
      <c r="C3" s="25">
        <v>4</v>
      </c>
    </row>
    <row r="5" spans="1:4">
      <c r="B5" s="1" t="s">
        <v>175</v>
      </c>
    </row>
    <row r="7" spans="1:4">
      <c r="B7" s="31" t="s">
        <v>197</v>
      </c>
      <c r="C7" s="12"/>
    </row>
    <row r="8" spans="1:4">
      <c r="B8" s="11" t="s">
        <v>47</v>
      </c>
      <c r="C8" s="12">
        <v>0</v>
      </c>
    </row>
    <row r="9" spans="1:4">
      <c r="B9" s="10" t="s">
        <v>69</v>
      </c>
      <c r="C9" s="29">
        <f>_xlfn.POISSON.DIST(C8,C3,FALSE)</f>
        <v>1.8315638888734179E-2</v>
      </c>
      <c r="D9" s="2" t="str">
        <f ca="1">_xlfn.FORMULATEXT(C9)</f>
        <v>=POISSON.DIST(C8,C3,FALSE)</v>
      </c>
    </row>
    <row r="10" spans="1:4">
      <c r="B10" s="11" t="s">
        <v>178</v>
      </c>
      <c r="C10" s="12">
        <f>(C3^C8)*(EXP(-C3))/FACT(C8)</f>
        <v>1.8315638888734179E-2</v>
      </c>
      <c r="D10" s="2"/>
    </row>
    <row r="12" spans="1:4">
      <c r="B12" s="31" t="s">
        <v>196</v>
      </c>
      <c r="C12" s="12"/>
    </row>
    <row r="13" spans="1:4">
      <c r="B13" s="11" t="s">
        <v>47</v>
      </c>
      <c r="C13" s="12">
        <v>1</v>
      </c>
    </row>
    <row r="14" spans="1:4">
      <c r="B14" s="10" t="s">
        <v>198</v>
      </c>
      <c r="C14" s="29">
        <f>_xlfn.POISSON.DIST(C13,C3,FALSE)</f>
        <v>7.3262555554936715E-2</v>
      </c>
      <c r="D14" s="2" t="str">
        <f t="shared" ref="D14:D15" ca="1" si="0">_xlfn.FORMULATEXT(C14)</f>
        <v>=POISSON.DIST(C13,C3,FALSE)</v>
      </c>
    </row>
    <row r="15" spans="1:4">
      <c r="B15" s="11" t="s">
        <v>199</v>
      </c>
      <c r="C15" s="12">
        <f>(C3^C13)*(EXP(-C3))/FACT(C13)</f>
        <v>7.3262555554936715E-2</v>
      </c>
      <c r="D15" s="2" t="str">
        <f t="shared" ca="1" si="0"/>
        <v>=(C3^C13)*(EXP(-C3))/FACT(C13)</v>
      </c>
    </row>
    <row r="17" spans="2:4">
      <c r="B17" s="31" t="s">
        <v>200</v>
      </c>
      <c r="C17" s="12"/>
    </row>
    <row r="18" spans="2:4">
      <c r="B18" s="11" t="s">
        <v>47</v>
      </c>
      <c r="C18" s="12">
        <v>2</v>
      </c>
    </row>
    <row r="19" spans="2:4">
      <c r="B19" s="10" t="s">
        <v>201</v>
      </c>
      <c r="C19" s="29">
        <f>_xlfn.POISSON.DIST(C18,C3,FALSE)</f>
        <v>0.14652511110987346</v>
      </c>
      <c r="D19" s="2" t="str">
        <f t="shared" ref="D19:D20" ca="1" si="1">_xlfn.FORMULATEXT(C19)</f>
        <v>=POISSON.DIST(C18,C3,FALSE)</v>
      </c>
    </row>
    <row r="20" spans="2:4">
      <c r="B20" s="11" t="s">
        <v>202</v>
      </c>
      <c r="C20" s="12">
        <f>(C3^C18)*(EXP(-C3))/FACT(C18)</f>
        <v>0.14652511110987343</v>
      </c>
      <c r="D20" s="2" t="str">
        <f t="shared" ca="1" si="1"/>
        <v>=(C3^C18)*(EXP(-C3))/FACT(C18)</v>
      </c>
    </row>
    <row r="22" spans="2:4">
      <c r="B22" s="30" t="s">
        <v>203</v>
      </c>
      <c r="C22" s="12"/>
    </row>
    <row r="23" spans="2:4">
      <c r="B23" s="11" t="s">
        <v>47</v>
      </c>
      <c r="C23" s="12">
        <v>2</v>
      </c>
    </row>
    <row r="24" spans="2:4">
      <c r="B24" s="10" t="s">
        <v>189</v>
      </c>
      <c r="C24" s="29">
        <f>1-_xlfn.POISSON.DIST(C23,C3,TRUE)</f>
        <v>0.76189669444645569</v>
      </c>
      <c r="D24" s="2" t="str">
        <f t="shared" ref="D24:D25" ca="1" si="2">_xlfn.FORMULATEXT(C24)</f>
        <v>=1-POISSON.DIST(C23,C3,TRUE)</v>
      </c>
    </row>
    <row r="25" spans="2:4">
      <c r="B25" s="11" t="s">
        <v>204</v>
      </c>
      <c r="C25" s="12">
        <f>1-(C3^0*EXP(-C3)/FACT(0)+C3^1*EXP(-C3)/FACT(1)+C3^2*EXP(-C3)/FACT(2))</f>
        <v>0.76189669444645569</v>
      </c>
      <c r="D25" s="2" t="str">
        <f t="shared" ca="1" si="2"/>
        <v>=1-(C3^0*EXP(-C3)/FACT(0)+C3^1*EXP(-C3)/FACT(1)+C3^2*EXP(-C3)/FACT(2))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97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3"/>
  <sheetViews>
    <sheetView workbookViewId="0">
      <selection activeCell="D1" sqref="D1"/>
    </sheetView>
  </sheetViews>
  <sheetFormatPr defaultColWidth="9.140625" defaultRowHeight="15"/>
  <cols>
    <col min="1" max="1" width="9.140625" style="4"/>
    <col min="2" max="2" width="29.5703125" style="4" customWidth="1"/>
    <col min="3" max="3" width="17.7109375" style="4" customWidth="1"/>
    <col min="4" max="4" width="63.42578125" style="4" customWidth="1"/>
    <col min="5" max="16384" width="9.140625" style="4"/>
  </cols>
  <sheetData>
    <row r="1" spans="1:4">
      <c r="A1" s="55" t="s">
        <v>283</v>
      </c>
    </row>
    <row r="3" spans="1:4">
      <c r="A3" s="4" t="s">
        <v>248</v>
      </c>
    </row>
    <row r="5" spans="1:4">
      <c r="B5" s="41" t="s">
        <v>245</v>
      </c>
      <c r="C5" s="4">
        <v>12</v>
      </c>
    </row>
    <row r="6" spans="1:4" ht="16.5">
      <c r="B6" s="41" t="s">
        <v>244</v>
      </c>
      <c r="C6" s="4">
        <v>36</v>
      </c>
    </row>
    <row r="7" spans="1:4">
      <c r="B7" s="40" t="s">
        <v>219</v>
      </c>
      <c r="C7" s="4">
        <f>SQRT(C6)</f>
        <v>6</v>
      </c>
      <c r="D7" s="8" t="s">
        <v>49</v>
      </c>
    </row>
    <row r="9" spans="1:4">
      <c r="B9" s="39" t="s">
        <v>320</v>
      </c>
      <c r="C9" s="4">
        <f>1-_xlfn.NORM.DIST(15,C5,C7,TRUE)</f>
        <v>0.30853753872598688</v>
      </c>
      <c r="D9" s="8" t="str">
        <f ca="1">_xlfn.FORMULATEXT(C9)</f>
        <v>=1-NORM.DIST(15,C5,C7,TRUE)</v>
      </c>
    </row>
    <row r="10" spans="1:4">
      <c r="B10" s="9" t="s">
        <v>321</v>
      </c>
      <c r="C10" s="4">
        <f>_xlfn.NORM.DIST(15,C5,C7,TRUE)</f>
        <v>0.69146246127401312</v>
      </c>
      <c r="D10" s="8" t="str">
        <f t="shared" ref="D10:D13" ca="1" si="0">_xlfn.FORMULATEXT(C10)</f>
        <v>=NORM.DIST(15,C5,C7,TRUE)</v>
      </c>
    </row>
    <row r="11" spans="1:4">
      <c r="B11" s="4" t="s">
        <v>247</v>
      </c>
      <c r="C11" s="4">
        <f>_xlfn.NORM.DIST(5,C5,C7,TRUE)</f>
        <v>0.12167250457438125</v>
      </c>
      <c r="D11" s="8" t="str">
        <f t="shared" ca="1" si="0"/>
        <v>=NORM.DIST(5,C5,C7,TRUE)</v>
      </c>
    </row>
    <row r="12" spans="1:4">
      <c r="B12" s="4" t="s">
        <v>246</v>
      </c>
      <c r="C12" s="4">
        <f>1-_xlfn.NORM.DIST(5,C5,C7,TRUE)</f>
        <v>0.87832749542561872</v>
      </c>
      <c r="D12" s="8" t="str">
        <f t="shared" ca="1" si="0"/>
        <v>=1-NORM.DIST(5,C5,C7,TRUE)</v>
      </c>
    </row>
    <row r="13" spans="1:4">
      <c r="B13" s="4" t="s">
        <v>322</v>
      </c>
      <c r="C13" s="4">
        <f>_xlfn.NORM.DIST(15,C5,C7,TRUE)-_xlfn.NORM.DIST(5,C5,C7,TRUE)</f>
        <v>0.56978995669963184</v>
      </c>
      <c r="D13" s="8" t="str">
        <f t="shared" ca="1" si="0"/>
        <v>=NORM.DIST(15,C5,C7,TRUE)-NORM.DIST(5,C5,C7,TRUE)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D13"/>
  <sheetViews>
    <sheetView workbookViewId="0">
      <selection activeCell="A2" sqref="A2"/>
    </sheetView>
  </sheetViews>
  <sheetFormatPr defaultColWidth="9.140625" defaultRowHeight="15"/>
  <cols>
    <col min="1" max="1" width="9.140625" style="1"/>
    <col min="2" max="2" width="24.140625" style="1" customWidth="1"/>
    <col min="3" max="3" width="14.7109375" style="1" customWidth="1"/>
    <col min="4" max="4" width="28.42578125" style="1" customWidth="1"/>
    <col min="5" max="16384" width="9.140625" style="1"/>
  </cols>
  <sheetData>
    <row r="1" spans="1:4">
      <c r="A1" s="1" t="s">
        <v>339</v>
      </c>
    </row>
    <row r="3" spans="1:4">
      <c r="B3" s="1" t="s">
        <v>206</v>
      </c>
    </row>
    <row r="5" spans="1:4">
      <c r="B5" s="16" t="s">
        <v>176</v>
      </c>
      <c r="C5" s="1">
        <v>1.8</v>
      </c>
    </row>
    <row r="7" spans="1:4">
      <c r="B7" s="1" t="s">
        <v>174</v>
      </c>
    </row>
    <row r="8" spans="1:4">
      <c r="B8" s="3" t="s">
        <v>207</v>
      </c>
    </row>
    <row r="9" spans="1:4">
      <c r="B9" s="3" t="s">
        <v>47</v>
      </c>
      <c r="C9" s="1">
        <v>3</v>
      </c>
    </row>
    <row r="10" spans="1:4">
      <c r="B10" s="3" t="s">
        <v>208</v>
      </c>
      <c r="C10" s="1">
        <f>1-_xlfn.EXPON.DIST(C9,C5,TRUE)</f>
        <v>4.5165809426126469E-3</v>
      </c>
      <c r="D10" s="2" t="str">
        <f ca="1">_xlfn.FORMULATEXT(C10)</f>
        <v>=1-EXPON.DIST(C9,C5,TRUE)</v>
      </c>
    </row>
    <row r="12" spans="1:4">
      <c r="B12" s="1" t="s">
        <v>209</v>
      </c>
    </row>
    <row r="13" spans="1:4">
      <c r="B13" s="1" t="s">
        <v>205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D17"/>
  <sheetViews>
    <sheetView workbookViewId="0">
      <selection activeCell="A2" sqref="A2"/>
    </sheetView>
  </sheetViews>
  <sheetFormatPr defaultColWidth="9.140625" defaultRowHeight="15"/>
  <cols>
    <col min="1" max="1" width="9.140625" style="1"/>
    <col min="2" max="2" width="34.85546875" style="1" customWidth="1"/>
    <col min="3" max="3" width="14.42578125" style="1" customWidth="1"/>
    <col min="4" max="4" width="18" style="1" customWidth="1"/>
    <col min="5" max="16384" width="9.140625" style="1"/>
  </cols>
  <sheetData>
    <row r="1" spans="1:4">
      <c r="A1" s="1" t="s">
        <v>340</v>
      </c>
    </row>
    <row r="3" spans="1:4">
      <c r="B3" s="1" t="s">
        <v>51</v>
      </c>
    </row>
    <row r="5" spans="1:4">
      <c r="B5" s="3" t="s">
        <v>57</v>
      </c>
      <c r="C5" s="1">
        <v>0.23</v>
      </c>
    </row>
    <row r="6" spans="1:4">
      <c r="B6" s="3" t="s">
        <v>50</v>
      </c>
      <c r="C6" s="1">
        <v>100</v>
      </c>
    </row>
    <row r="7" spans="1:4">
      <c r="B7" s="3"/>
    </row>
    <row r="8" spans="1:4">
      <c r="B8" s="3" t="s">
        <v>130</v>
      </c>
      <c r="C8" s="1">
        <f>C6*C5</f>
        <v>23</v>
      </c>
      <c r="D8" s="2" t="str">
        <f ca="1">_xlfn.FORMULATEXT(C8)</f>
        <v>=C6*C5</v>
      </c>
    </row>
    <row r="9" spans="1:4">
      <c r="B9" s="3"/>
    </row>
    <row r="10" spans="1:4">
      <c r="B10" s="3" t="s">
        <v>129</v>
      </c>
      <c r="C10" s="1">
        <f>C6*C5*(1-C5)</f>
        <v>17.71</v>
      </c>
      <c r="D10" s="2" t="str">
        <f ca="1">_xlfn.FORMULATEXT(C10)</f>
        <v>=C6*C5*(1-C5)</v>
      </c>
    </row>
    <row r="11" spans="1:4">
      <c r="B11" s="3"/>
    </row>
    <row r="12" spans="1:4">
      <c r="B12" s="3" t="s">
        <v>210</v>
      </c>
      <c r="C12" s="1">
        <f>SQRT(C10)</f>
        <v>4.2083250825001626</v>
      </c>
      <c r="D12" s="2" t="str">
        <f ca="1">_xlfn.FORMULATEXT(C12)</f>
        <v>=SQRT(C10)</v>
      </c>
    </row>
    <row r="15" spans="1:4">
      <c r="B15" s="3" t="s">
        <v>211</v>
      </c>
    </row>
    <row r="16" spans="1:4">
      <c r="B16" s="3" t="s">
        <v>47</v>
      </c>
      <c r="C16" s="1">
        <v>30</v>
      </c>
    </row>
    <row r="17" spans="2:3">
      <c r="B17" s="3" t="s">
        <v>53</v>
      </c>
      <c r="C17" s="1">
        <f>1-_xlfn.BINOM.DIST(C16,C6,C5,TRUE)</f>
        <v>4.064620818928022E-2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X37"/>
  <sheetViews>
    <sheetView workbookViewId="0">
      <selection activeCell="A2" sqref="A2"/>
    </sheetView>
  </sheetViews>
  <sheetFormatPr defaultRowHeight="15"/>
  <cols>
    <col min="1" max="4" width="9.140625" style="1"/>
    <col min="5" max="5" width="12.7109375" style="1" customWidth="1"/>
    <col min="6" max="6" width="15.42578125" style="1" customWidth="1"/>
    <col min="7" max="8" width="9.140625" style="1"/>
    <col min="9" max="9" width="21.5703125" style="1" customWidth="1"/>
    <col min="10" max="10" width="16.42578125" style="1" customWidth="1"/>
    <col min="11" max="11" width="14.140625" style="1" customWidth="1"/>
    <col min="12" max="12" width="18.42578125" style="1" customWidth="1"/>
    <col min="13" max="14" width="9.140625" style="1"/>
    <col min="15" max="15" width="26.7109375" style="1" customWidth="1"/>
    <col min="16" max="16" width="15" style="1" customWidth="1"/>
    <col min="17" max="17" width="13.28515625" style="1" customWidth="1"/>
    <col min="18" max="18" width="16.85546875" style="1" customWidth="1"/>
    <col min="19" max="20" width="9.140625" style="1"/>
    <col min="21" max="21" width="14.140625" style="1" customWidth="1"/>
    <col min="22" max="22" width="15.140625" style="1" customWidth="1"/>
    <col min="23" max="23" width="17.5703125" style="1" customWidth="1"/>
    <col min="24" max="24" width="20.28515625" style="1" customWidth="1"/>
    <col min="25" max="264" width="9.140625" style="1"/>
    <col min="265" max="265" width="21.5703125" style="1" customWidth="1"/>
    <col min="266" max="267" width="9.140625" style="1"/>
    <col min="268" max="268" width="21.42578125" style="1" customWidth="1"/>
    <col min="269" max="270" width="9.140625" style="1"/>
    <col min="271" max="271" width="26.7109375" style="1" customWidth="1"/>
    <col min="272" max="520" width="9.140625" style="1"/>
    <col min="521" max="521" width="21.5703125" style="1" customWidth="1"/>
    <col min="522" max="523" width="9.140625" style="1"/>
    <col min="524" max="524" width="21.42578125" style="1" customWidth="1"/>
    <col min="525" max="526" width="9.140625" style="1"/>
    <col min="527" max="527" width="26.7109375" style="1" customWidth="1"/>
    <col min="528" max="776" width="9.140625" style="1"/>
    <col min="777" max="777" width="21.5703125" style="1" customWidth="1"/>
    <col min="778" max="779" width="9.140625" style="1"/>
    <col min="780" max="780" width="21.42578125" style="1" customWidth="1"/>
    <col min="781" max="782" width="9.140625" style="1"/>
    <col min="783" max="783" width="26.7109375" style="1" customWidth="1"/>
    <col min="784" max="1032" width="9.140625" style="1"/>
    <col min="1033" max="1033" width="21.5703125" style="1" customWidth="1"/>
    <col min="1034" max="1035" width="9.140625" style="1"/>
    <col min="1036" max="1036" width="21.42578125" style="1" customWidth="1"/>
    <col min="1037" max="1038" width="9.140625" style="1"/>
    <col min="1039" max="1039" width="26.7109375" style="1" customWidth="1"/>
    <col min="1040" max="1288" width="9.140625" style="1"/>
    <col min="1289" max="1289" width="21.5703125" style="1" customWidth="1"/>
    <col min="1290" max="1291" width="9.140625" style="1"/>
    <col min="1292" max="1292" width="21.42578125" style="1" customWidth="1"/>
    <col min="1293" max="1294" width="9.140625" style="1"/>
    <col min="1295" max="1295" width="26.7109375" style="1" customWidth="1"/>
    <col min="1296" max="1544" width="9.140625" style="1"/>
    <col min="1545" max="1545" width="21.5703125" style="1" customWidth="1"/>
    <col min="1546" max="1547" width="9.140625" style="1"/>
    <col min="1548" max="1548" width="21.42578125" style="1" customWidth="1"/>
    <col min="1549" max="1550" width="9.140625" style="1"/>
    <col min="1551" max="1551" width="26.7109375" style="1" customWidth="1"/>
    <col min="1552" max="1800" width="9.140625" style="1"/>
    <col min="1801" max="1801" width="21.5703125" style="1" customWidth="1"/>
    <col min="1802" max="1803" width="9.140625" style="1"/>
    <col min="1804" max="1804" width="21.42578125" style="1" customWidth="1"/>
    <col min="1805" max="1806" width="9.140625" style="1"/>
    <col min="1807" max="1807" width="26.7109375" style="1" customWidth="1"/>
    <col min="1808" max="2056" width="9.140625" style="1"/>
    <col min="2057" max="2057" width="21.5703125" style="1" customWidth="1"/>
    <col min="2058" max="2059" width="9.140625" style="1"/>
    <col min="2060" max="2060" width="21.42578125" style="1" customWidth="1"/>
    <col min="2061" max="2062" width="9.140625" style="1"/>
    <col min="2063" max="2063" width="26.7109375" style="1" customWidth="1"/>
    <col min="2064" max="2312" width="9.140625" style="1"/>
    <col min="2313" max="2313" width="21.5703125" style="1" customWidth="1"/>
    <col min="2314" max="2315" width="9.140625" style="1"/>
    <col min="2316" max="2316" width="21.42578125" style="1" customWidth="1"/>
    <col min="2317" max="2318" width="9.140625" style="1"/>
    <col min="2319" max="2319" width="26.7109375" style="1" customWidth="1"/>
    <col min="2320" max="2568" width="9.140625" style="1"/>
    <col min="2569" max="2569" width="21.5703125" style="1" customWidth="1"/>
    <col min="2570" max="2571" width="9.140625" style="1"/>
    <col min="2572" max="2572" width="21.42578125" style="1" customWidth="1"/>
    <col min="2573" max="2574" width="9.140625" style="1"/>
    <col min="2575" max="2575" width="26.7109375" style="1" customWidth="1"/>
    <col min="2576" max="2824" width="9.140625" style="1"/>
    <col min="2825" max="2825" width="21.5703125" style="1" customWidth="1"/>
    <col min="2826" max="2827" width="9.140625" style="1"/>
    <col min="2828" max="2828" width="21.42578125" style="1" customWidth="1"/>
    <col min="2829" max="2830" width="9.140625" style="1"/>
    <col min="2831" max="2831" width="26.7109375" style="1" customWidth="1"/>
    <col min="2832" max="3080" width="9.140625" style="1"/>
    <col min="3081" max="3081" width="21.5703125" style="1" customWidth="1"/>
    <col min="3082" max="3083" width="9.140625" style="1"/>
    <col min="3084" max="3084" width="21.42578125" style="1" customWidth="1"/>
    <col min="3085" max="3086" width="9.140625" style="1"/>
    <col min="3087" max="3087" width="26.7109375" style="1" customWidth="1"/>
    <col min="3088" max="3336" width="9.140625" style="1"/>
    <col min="3337" max="3337" width="21.5703125" style="1" customWidth="1"/>
    <col min="3338" max="3339" width="9.140625" style="1"/>
    <col min="3340" max="3340" width="21.42578125" style="1" customWidth="1"/>
    <col min="3341" max="3342" width="9.140625" style="1"/>
    <col min="3343" max="3343" width="26.7109375" style="1" customWidth="1"/>
    <col min="3344" max="3592" width="9.140625" style="1"/>
    <col min="3593" max="3593" width="21.5703125" style="1" customWidth="1"/>
    <col min="3594" max="3595" width="9.140625" style="1"/>
    <col min="3596" max="3596" width="21.42578125" style="1" customWidth="1"/>
    <col min="3597" max="3598" width="9.140625" style="1"/>
    <col min="3599" max="3599" width="26.7109375" style="1" customWidth="1"/>
    <col min="3600" max="3848" width="9.140625" style="1"/>
    <col min="3849" max="3849" width="21.5703125" style="1" customWidth="1"/>
    <col min="3850" max="3851" width="9.140625" style="1"/>
    <col min="3852" max="3852" width="21.42578125" style="1" customWidth="1"/>
    <col min="3853" max="3854" width="9.140625" style="1"/>
    <col min="3855" max="3855" width="26.7109375" style="1" customWidth="1"/>
    <col min="3856" max="4104" width="9.140625" style="1"/>
    <col min="4105" max="4105" width="21.5703125" style="1" customWidth="1"/>
    <col min="4106" max="4107" width="9.140625" style="1"/>
    <col min="4108" max="4108" width="21.42578125" style="1" customWidth="1"/>
    <col min="4109" max="4110" width="9.140625" style="1"/>
    <col min="4111" max="4111" width="26.7109375" style="1" customWidth="1"/>
    <col min="4112" max="4360" width="9.140625" style="1"/>
    <col min="4361" max="4361" width="21.5703125" style="1" customWidth="1"/>
    <col min="4362" max="4363" width="9.140625" style="1"/>
    <col min="4364" max="4364" width="21.42578125" style="1" customWidth="1"/>
    <col min="4365" max="4366" width="9.140625" style="1"/>
    <col min="4367" max="4367" width="26.7109375" style="1" customWidth="1"/>
    <col min="4368" max="4616" width="9.140625" style="1"/>
    <col min="4617" max="4617" width="21.5703125" style="1" customWidth="1"/>
    <col min="4618" max="4619" width="9.140625" style="1"/>
    <col min="4620" max="4620" width="21.42578125" style="1" customWidth="1"/>
    <col min="4621" max="4622" width="9.140625" style="1"/>
    <col min="4623" max="4623" width="26.7109375" style="1" customWidth="1"/>
    <col min="4624" max="4872" width="9.140625" style="1"/>
    <col min="4873" max="4873" width="21.5703125" style="1" customWidth="1"/>
    <col min="4874" max="4875" width="9.140625" style="1"/>
    <col min="4876" max="4876" width="21.42578125" style="1" customWidth="1"/>
    <col min="4877" max="4878" width="9.140625" style="1"/>
    <col min="4879" max="4879" width="26.7109375" style="1" customWidth="1"/>
    <col min="4880" max="5128" width="9.140625" style="1"/>
    <col min="5129" max="5129" width="21.5703125" style="1" customWidth="1"/>
    <col min="5130" max="5131" width="9.140625" style="1"/>
    <col min="5132" max="5132" width="21.42578125" style="1" customWidth="1"/>
    <col min="5133" max="5134" width="9.140625" style="1"/>
    <col min="5135" max="5135" width="26.7109375" style="1" customWidth="1"/>
    <col min="5136" max="5384" width="9.140625" style="1"/>
    <col min="5385" max="5385" width="21.5703125" style="1" customWidth="1"/>
    <col min="5386" max="5387" width="9.140625" style="1"/>
    <col min="5388" max="5388" width="21.42578125" style="1" customWidth="1"/>
    <col min="5389" max="5390" width="9.140625" style="1"/>
    <col min="5391" max="5391" width="26.7109375" style="1" customWidth="1"/>
    <col min="5392" max="5640" width="9.140625" style="1"/>
    <col min="5641" max="5641" width="21.5703125" style="1" customWidth="1"/>
    <col min="5642" max="5643" width="9.140625" style="1"/>
    <col min="5644" max="5644" width="21.42578125" style="1" customWidth="1"/>
    <col min="5645" max="5646" width="9.140625" style="1"/>
    <col min="5647" max="5647" width="26.7109375" style="1" customWidth="1"/>
    <col min="5648" max="5896" width="9.140625" style="1"/>
    <col min="5897" max="5897" width="21.5703125" style="1" customWidth="1"/>
    <col min="5898" max="5899" width="9.140625" style="1"/>
    <col min="5900" max="5900" width="21.42578125" style="1" customWidth="1"/>
    <col min="5901" max="5902" width="9.140625" style="1"/>
    <col min="5903" max="5903" width="26.7109375" style="1" customWidth="1"/>
    <col min="5904" max="6152" width="9.140625" style="1"/>
    <col min="6153" max="6153" width="21.5703125" style="1" customWidth="1"/>
    <col min="6154" max="6155" width="9.140625" style="1"/>
    <col min="6156" max="6156" width="21.42578125" style="1" customWidth="1"/>
    <col min="6157" max="6158" width="9.140625" style="1"/>
    <col min="6159" max="6159" width="26.7109375" style="1" customWidth="1"/>
    <col min="6160" max="6408" width="9.140625" style="1"/>
    <col min="6409" max="6409" width="21.5703125" style="1" customWidth="1"/>
    <col min="6410" max="6411" width="9.140625" style="1"/>
    <col min="6412" max="6412" width="21.42578125" style="1" customWidth="1"/>
    <col min="6413" max="6414" width="9.140625" style="1"/>
    <col min="6415" max="6415" width="26.7109375" style="1" customWidth="1"/>
    <col min="6416" max="6664" width="9.140625" style="1"/>
    <col min="6665" max="6665" width="21.5703125" style="1" customWidth="1"/>
    <col min="6666" max="6667" width="9.140625" style="1"/>
    <col min="6668" max="6668" width="21.42578125" style="1" customWidth="1"/>
    <col min="6669" max="6670" width="9.140625" style="1"/>
    <col min="6671" max="6671" width="26.7109375" style="1" customWidth="1"/>
    <col min="6672" max="6920" width="9.140625" style="1"/>
    <col min="6921" max="6921" width="21.5703125" style="1" customWidth="1"/>
    <col min="6922" max="6923" width="9.140625" style="1"/>
    <col min="6924" max="6924" width="21.42578125" style="1" customWidth="1"/>
    <col min="6925" max="6926" width="9.140625" style="1"/>
    <col min="6927" max="6927" width="26.7109375" style="1" customWidth="1"/>
    <col min="6928" max="7176" width="9.140625" style="1"/>
    <col min="7177" max="7177" width="21.5703125" style="1" customWidth="1"/>
    <col min="7178" max="7179" width="9.140625" style="1"/>
    <col min="7180" max="7180" width="21.42578125" style="1" customWidth="1"/>
    <col min="7181" max="7182" width="9.140625" style="1"/>
    <col min="7183" max="7183" width="26.7109375" style="1" customWidth="1"/>
    <col min="7184" max="7432" width="9.140625" style="1"/>
    <col min="7433" max="7433" width="21.5703125" style="1" customWidth="1"/>
    <col min="7434" max="7435" width="9.140625" style="1"/>
    <col min="7436" max="7436" width="21.42578125" style="1" customWidth="1"/>
    <col min="7437" max="7438" width="9.140625" style="1"/>
    <col min="7439" max="7439" width="26.7109375" style="1" customWidth="1"/>
    <col min="7440" max="7688" width="9.140625" style="1"/>
    <col min="7689" max="7689" width="21.5703125" style="1" customWidth="1"/>
    <col min="7690" max="7691" width="9.140625" style="1"/>
    <col min="7692" max="7692" width="21.42578125" style="1" customWidth="1"/>
    <col min="7693" max="7694" width="9.140625" style="1"/>
    <col min="7695" max="7695" width="26.7109375" style="1" customWidth="1"/>
    <col min="7696" max="7944" width="9.140625" style="1"/>
    <col min="7945" max="7945" width="21.5703125" style="1" customWidth="1"/>
    <col min="7946" max="7947" width="9.140625" style="1"/>
    <col min="7948" max="7948" width="21.42578125" style="1" customWidth="1"/>
    <col min="7949" max="7950" width="9.140625" style="1"/>
    <col min="7951" max="7951" width="26.7109375" style="1" customWidth="1"/>
    <col min="7952" max="8200" width="9.140625" style="1"/>
    <col min="8201" max="8201" width="21.5703125" style="1" customWidth="1"/>
    <col min="8202" max="8203" width="9.140625" style="1"/>
    <col min="8204" max="8204" width="21.42578125" style="1" customWidth="1"/>
    <col min="8205" max="8206" width="9.140625" style="1"/>
    <col min="8207" max="8207" width="26.7109375" style="1" customWidth="1"/>
    <col min="8208" max="8456" width="9.140625" style="1"/>
    <col min="8457" max="8457" width="21.5703125" style="1" customWidth="1"/>
    <col min="8458" max="8459" width="9.140625" style="1"/>
    <col min="8460" max="8460" width="21.42578125" style="1" customWidth="1"/>
    <col min="8461" max="8462" width="9.140625" style="1"/>
    <col min="8463" max="8463" width="26.7109375" style="1" customWidth="1"/>
    <col min="8464" max="8712" width="9.140625" style="1"/>
    <col min="8713" max="8713" width="21.5703125" style="1" customWidth="1"/>
    <col min="8714" max="8715" width="9.140625" style="1"/>
    <col min="8716" max="8716" width="21.42578125" style="1" customWidth="1"/>
    <col min="8717" max="8718" width="9.140625" style="1"/>
    <col min="8719" max="8719" width="26.7109375" style="1" customWidth="1"/>
    <col min="8720" max="8968" width="9.140625" style="1"/>
    <col min="8969" max="8969" width="21.5703125" style="1" customWidth="1"/>
    <col min="8970" max="8971" width="9.140625" style="1"/>
    <col min="8972" max="8972" width="21.42578125" style="1" customWidth="1"/>
    <col min="8973" max="8974" width="9.140625" style="1"/>
    <col min="8975" max="8975" width="26.7109375" style="1" customWidth="1"/>
    <col min="8976" max="9224" width="9.140625" style="1"/>
    <col min="9225" max="9225" width="21.5703125" style="1" customWidth="1"/>
    <col min="9226" max="9227" width="9.140625" style="1"/>
    <col min="9228" max="9228" width="21.42578125" style="1" customWidth="1"/>
    <col min="9229" max="9230" width="9.140625" style="1"/>
    <col min="9231" max="9231" width="26.7109375" style="1" customWidth="1"/>
    <col min="9232" max="9480" width="9.140625" style="1"/>
    <col min="9481" max="9481" width="21.5703125" style="1" customWidth="1"/>
    <col min="9482" max="9483" width="9.140625" style="1"/>
    <col min="9484" max="9484" width="21.42578125" style="1" customWidth="1"/>
    <col min="9485" max="9486" width="9.140625" style="1"/>
    <col min="9487" max="9487" width="26.7109375" style="1" customWidth="1"/>
    <col min="9488" max="9736" width="9.140625" style="1"/>
    <col min="9737" max="9737" width="21.5703125" style="1" customWidth="1"/>
    <col min="9738" max="9739" width="9.140625" style="1"/>
    <col min="9740" max="9740" width="21.42578125" style="1" customWidth="1"/>
    <col min="9741" max="9742" width="9.140625" style="1"/>
    <col min="9743" max="9743" width="26.7109375" style="1" customWidth="1"/>
    <col min="9744" max="9992" width="9.140625" style="1"/>
    <col min="9993" max="9993" width="21.5703125" style="1" customWidth="1"/>
    <col min="9994" max="9995" width="9.140625" style="1"/>
    <col min="9996" max="9996" width="21.42578125" style="1" customWidth="1"/>
    <col min="9997" max="9998" width="9.140625" style="1"/>
    <col min="9999" max="9999" width="26.7109375" style="1" customWidth="1"/>
    <col min="10000" max="10248" width="9.140625" style="1"/>
    <col min="10249" max="10249" width="21.5703125" style="1" customWidth="1"/>
    <col min="10250" max="10251" width="9.140625" style="1"/>
    <col min="10252" max="10252" width="21.42578125" style="1" customWidth="1"/>
    <col min="10253" max="10254" width="9.140625" style="1"/>
    <col min="10255" max="10255" width="26.7109375" style="1" customWidth="1"/>
    <col min="10256" max="10504" width="9.140625" style="1"/>
    <col min="10505" max="10505" width="21.5703125" style="1" customWidth="1"/>
    <col min="10506" max="10507" width="9.140625" style="1"/>
    <col min="10508" max="10508" width="21.42578125" style="1" customWidth="1"/>
    <col min="10509" max="10510" width="9.140625" style="1"/>
    <col min="10511" max="10511" width="26.7109375" style="1" customWidth="1"/>
    <col min="10512" max="10760" width="9.140625" style="1"/>
    <col min="10761" max="10761" width="21.5703125" style="1" customWidth="1"/>
    <col min="10762" max="10763" width="9.140625" style="1"/>
    <col min="10764" max="10764" width="21.42578125" style="1" customWidth="1"/>
    <col min="10765" max="10766" width="9.140625" style="1"/>
    <col min="10767" max="10767" width="26.7109375" style="1" customWidth="1"/>
    <col min="10768" max="11016" width="9.140625" style="1"/>
    <col min="11017" max="11017" width="21.5703125" style="1" customWidth="1"/>
    <col min="11018" max="11019" width="9.140625" style="1"/>
    <col min="11020" max="11020" width="21.42578125" style="1" customWidth="1"/>
    <col min="11021" max="11022" width="9.140625" style="1"/>
    <col min="11023" max="11023" width="26.7109375" style="1" customWidth="1"/>
    <col min="11024" max="11272" width="9.140625" style="1"/>
    <col min="11273" max="11273" width="21.5703125" style="1" customWidth="1"/>
    <col min="11274" max="11275" width="9.140625" style="1"/>
    <col min="11276" max="11276" width="21.42578125" style="1" customWidth="1"/>
    <col min="11277" max="11278" width="9.140625" style="1"/>
    <col min="11279" max="11279" width="26.7109375" style="1" customWidth="1"/>
    <col min="11280" max="11528" width="9.140625" style="1"/>
    <col min="11529" max="11529" width="21.5703125" style="1" customWidth="1"/>
    <col min="11530" max="11531" width="9.140625" style="1"/>
    <col min="11532" max="11532" width="21.42578125" style="1" customWidth="1"/>
    <col min="11533" max="11534" width="9.140625" style="1"/>
    <col min="11535" max="11535" width="26.7109375" style="1" customWidth="1"/>
    <col min="11536" max="11784" width="9.140625" style="1"/>
    <col min="11785" max="11785" width="21.5703125" style="1" customWidth="1"/>
    <col min="11786" max="11787" width="9.140625" style="1"/>
    <col min="11788" max="11788" width="21.42578125" style="1" customWidth="1"/>
    <col min="11789" max="11790" width="9.140625" style="1"/>
    <col min="11791" max="11791" width="26.7109375" style="1" customWidth="1"/>
    <col min="11792" max="12040" width="9.140625" style="1"/>
    <col min="12041" max="12041" width="21.5703125" style="1" customWidth="1"/>
    <col min="12042" max="12043" width="9.140625" style="1"/>
    <col min="12044" max="12044" width="21.42578125" style="1" customWidth="1"/>
    <col min="12045" max="12046" width="9.140625" style="1"/>
    <col min="12047" max="12047" width="26.7109375" style="1" customWidth="1"/>
    <col min="12048" max="12296" width="9.140625" style="1"/>
    <col min="12297" max="12297" width="21.5703125" style="1" customWidth="1"/>
    <col min="12298" max="12299" width="9.140625" style="1"/>
    <col min="12300" max="12300" width="21.42578125" style="1" customWidth="1"/>
    <col min="12301" max="12302" width="9.140625" style="1"/>
    <col min="12303" max="12303" width="26.7109375" style="1" customWidth="1"/>
    <col min="12304" max="12552" width="9.140625" style="1"/>
    <col min="12553" max="12553" width="21.5703125" style="1" customWidth="1"/>
    <col min="12554" max="12555" width="9.140625" style="1"/>
    <col min="12556" max="12556" width="21.42578125" style="1" customWidth="1"/>
    <col min="12557" max="12558" width="9.140625" style="1"/>
    <col min="12559" max="12559" width="26.7109375" style="1" customWidth="1"/>
    <col min="12560" max="12808" width="9.140625" style="1"/>
    <col min="12809" max="12809" width="21.5703125" style="1" customWidth="1"/>
    <col min="12810" max="12811" width="9.140625" style="1"/>
    <col min="12812" max="12812" width="21.42578125" style="1" customWidth="1"/>
    <col min="12813" max="12814" width="9.140625" style="1"/>
    <col min="12815" max="12815" width="26.7109375" style="1" customWidth="1"/>
    <col min="12816" max="13064" width="9.140625" style="1"/>
    <col min="13065" max="13065" width="21.5703125" style="1" customWidth="1"/>
    <col min="13066" max="13067" width="9.140625" style="1"/>
    <col min="13068" max="13068" width="21.42578125" style="1" customWidth="1"/>
    <col min="13069" max="13070" width="9.140625" style="1"/>
    <col min="13071" max="13071" width="26.7109375" style="1" customWidth="1"/>
    <col min="13072" max="13320" width="9.140625" style="1"/>
    <col min="13321" max="13321" width="21.5703125" style="1" customWidth="1"/>
    <col min="13322" max="13323" width="9.140625" style="1"/>
    <col min="13324" max="13324" width="21.42578125" style="1" customWidth="1"/>
    <col min="13325" max="13326" width="9.140625" style="1"/>
    <col min="13327" max="13327" width="26.7109375" style="1" customWidth="1"/>
    <col min="13328" max="13576" width="9.140625" style="1"/>
    <col min="13577" max="13577" width="21.5703125" style="1" customWidth="1"/>
    <col min="13578" max="13579" width="9.140625" style="1"/>
    <col min="13580" max="13580" width="21.42578125" style="1" customWidth="1"/>
    <col min="13581" max="13582" width="9.140625" style="1"/>
    <col min="13583" max="13583" width="26.7109375" style="1" customWidth="1"/>
    <col min="13584" max="13832" width="9.140625" style="1"/>
    <col min="13833" max="13833" width="21.5703125" style="1" customWidth="1"/>
    <col min="13834" max="13835" width="9.140625" style="1"/>
    <col min="13836" max="13836" width="21.42578125" style="1" customWidth="1"/>
    <col min="13837" max="13838" width="9.140625" style="1"/>
    <col min="13839" max="13839" width="26.7109375" style="1" customWidth="1"/>
    <col min="13840" max="14088" width="9.140625" style="1"/>
    <col min="14089" max="14089" width="21.5703125" style="1" customWidth="1"/>
    <col min="14090" max="14091" width="9.140625" style="1"/>
    <col min="14092" max="14092" width="21.42578125" style="1" customWidth="1"/>
    <col min="14093" max="14094" width="9.140625" style="1"/>
    <col min="14095" max="14095" width="26.7109375" style="1" customWidth="1"/>
    <col min="14096" max="14344" width="9.140625" style="1"/>
    <col min="14345" max="14345" width="21.5703125" style="1" customWidth="1"/>
    <col min="14346" max="14347" width="9.140625" style="1"/>
    <col min="14348" max="14348" width="21.42578125" style="1" customWidth="1"/>
    <col min="14349" max="14350" width="9.140625" style="1"/>
    <col min="14351" max="14351" width="26.7109375" style="1" customWidth="1"/>
    <col min="14352" max="14600" width="9.140625" style="1"/>
    <col min="14601" max="14601" width="21.5703125" style="1" customWidth="1"/>
    <col min="14602" max="14603" width="9.140625" style="1"/>
    <col min="14604" max="14604" width="21.42578125" style="1" customWidth="1"/>
    <col min="14605" max="14606" width="9.140625" style="1"/>
    <col min="14607" max="14607" width="26.7109375" style="1" customWidth="1"/>
    <col min="14608" max="14856" width="9.140625" style="1"/>
    <col min="14857" max="14857" width="21.5703125" style="1" customWidth="1"/>
    <col min="14858" max="14859" width="9.140625" style="1"/>
    <col min="14860" max="14860" width="21.42578125" style="1" customWidth="1"/>
    <col min="14861" max="14862" width="9.140625" style="1"/>
    <col min="14863" max="14863" width="26.7109375" style="1" customWidth="1"/>
    <col min="14864" max="15112" width="9.140625" style="1"/>
    <col min="15113" max="15113" width="21.5703125" style="1" customWidth="1"/>
    <col min="15114" max="15115" width="9.140625" style="1"/>
    <col min="15116" max="15116" width="21.42578125" style="1" customWidth="1"/>
    <col min="15117" max="15118" width="9.140625" style="1"/>
    <col min="15119" max="15119" width="26.7109375" style="1" customWidth="1"/>
    <col min="15120" max="15368" width="9.140625" style="1"/>
    <col min="15369" max="15369" width="21.5703125" style="1" customWidth="1"/>
    <col min="15370" max="15371" width="9.140625" style="1"/>
    <col min="15372" max="15372" width="21.42578125" style="1" customWidth="1"/>
    <col min="15373" max="15374" width="9.140625" style="1"/>
    <col min="15375" max="15375" width="26.7109375" style="1" customWidth="1"/>
    <col min="15376" max="15624" width="9.140625" style="1"/>
    <col min="15625" max="15625" width="21.5703125" style="1" customWidth="1"/>
    <col min="15626" max="15627" width="9.140625" style="1"/>
    <col min="15628" max="15628" width="21.42578125" style="1" customWidth="1"/>
    <col min="15629" max="15630" width="9.140625" style="1"/>
    <col min="15631" max="15631" width="26.7109375" style="1" customWidth="1"/>
    <col min="15632" max="15880" width="9.140625" style="1"/>
    <col min="15881" max="15881" width="21.5703125" style="1" customWidth="1"/>
    <col min="15882" max="15883" width="9.140625" style="1"/>
    <col min="15884" max="15884" width="21.42578125" style="1" customWidth="1"/>
    <col min="15885" max="15886" width="9.140625" style="1"/>
    <col min="15887" max="15887" width="26.7109375" style="1" customWidth="1"/>
    <col min="15888" max="16136" width="9.140625" style="1"/>
    <col min="16137" max="16137" width="21.5703125" style="1" customWidth="1"/>
    <col min="16138" max="16139" width="9.140625" style="1"/>
    <col min="16140" max="16140" width="21.42578125" style="1" customWidth="1"/>
    <col min="16141" max="16142" width="9.140625" style="1"/>
    <col min="16143" max="16143" width="26.7109375" style="1" customWidth="1"/>
    <col min="16144" max="16384" width="9.140625" style="1"/>
  </cols>
  <sheetData>
    <row r="1" spans="1:24">
      <c r="A1" s="1" t="s">
        <v>341</v>
      </c>
    </row>
    <row r="3" spans="1:24">
      <c r="B3" s="1" t="s">
        <v>11</v>
      </c>
      <c r="H3" s="1" t="s">
        <v>16</v>
      </c>
      <c r="N3" s="1" t="s">
        <v>24</v>
      </c>
      <c r="T3" s="1" t="s">
        <v>32</v>
      </c>
    </row>
    <row r="5" spans="1:24">
      <c r="C5" s="63"/>
      <c r="D5" s="64"/>
      <c r="E5" s="84" t="s">
        <v>12</v>
      </c>
      <c r="F5" s="84"/>
      <c r="I5" s="3" t="s">
        <v>17</v>
      </c>
      <c r="J5" s="1">
        <f>1/3</f>
        <v>0.33333333333333331</v>
      </c>
      <c r="K5" s="2" t="s">
        <v>25</v>
      </c>
      <c r="O5" s="3" t="s">
        <v>17</v>
      </c>
      <c r="P5" s="1">
        <f>1/5</f>
        <v>0.2</v>
      </c>
      <c r="Q5" s="2" t="s">
        <v>28</v>
      </c>
      <c r="U5" s="1" t="s">
        <v>33</v>
      </c>
    </row>
    <row r="6" spans="1:24">
      <c r="C6" s="64"/>
      <c r="D6" s="64"/>
      <c r="E6" s="65" t="s">
        <v>6</v>
      </c>
      <c r="F6" s="65" t="s">
        <v>9</v>
      </c>
      <c r="I6" s="3" t="s">
        <v>18</v>
      </c>
      <c r="J6" s="1">
        <f>2/3</f>
        <v>0.66666666666666663</v>
      </c>
      <c r="K6" s="2" t="s">
        <v>26</v>
      </c>
      <c r="O6" s="3" t="s">
        <v>18</v>
      </c>
      <c r="P6" s="1">
        <f>4/5</f>
        <v>0.8</v>
      </c>
      <c r="Q6" s="2" t="s">
        <v>27</v>
      </c>
    </row>
    <row r="7" spans="1:24">
      <c r="C7" s="85" t="s">
        <v>13</v>
      </c>
      <c r="D7" s="66" t="s">
        <v>14</v>
      </c>
      <c r="E7" s="67">
        <v>15000</v>
      </c>
      <c r="F7" s="67">
        <v>-3000</v>
      </c>
      <c r="U7" s="1" t="s">
        <v>34</v>
      </c>
    </row>
    <row r="8" spans="1:24">
      <c r="C8" s="86"/>
      <c r="D8" s="68" t="s">
        <v>15</v>
      </c>
      <c r="E8" s="67">
        <v>-6000</v>
      </c>
      <c r="F8" s="67">
        <v>0</v>
      </c>
      <c r="I8" s="1" t="s">
        <v>6</v>
      </c>
      <c r="O8" s="1" t="s">
        <v>6</v>
      </c>
    </row>
    <row r="9" spans="1:24">
      <c r="J9" s="61" t="s">
        <v>7</v>
      </c>
      <c r="K9" s="61" t="s">
        <v>8</v>
      </c>
      <c r="L9" s="61" t="s">
        <v>19</v>
      </c>
      <c r="P9" s="61" t="s">
        <v>7</v>
      </c>
      <c r="Q9" s="61" t="s">
        <v>8</v>
      </c>
      <c r="R9" s="61" t="s">
        <v>19</v>
      </c>
      <c r="U9" s="69" t="s">
        <v>35</v>
      </c>
    </row>
    <row r="10" spans="1:24">
      <c r="J10" s="70">
        <f>E7</f>
        <v>15000</v>
      </c>
      <c r="K10" s="61">
        <f>J5</f>
        <v>0.33333333333333331</v>
      </c>
      <c r="L10" s="70">
        <f>J10*K10</f>
        <v>5000</v>
      </c>
      <c r="P10" s="70">
        <f>E7</f>
        <v>15000</v>
      </c>
      <c r="Q10" s="61">
        <f>P5</f>
        <v>0.2</v>
      </c>
      <c r="R10" s="70">
        <f>P10*Q10</f>
        <v>3000</v>
      </c>
    </row>
    <row r="11" spans="1:24">
      <c r="J11" s="70">
        <f>E8</f>
        <v>-6000</v>
      </c>
      <c r="K11" s="61">
        <f>J6</f>
        <v>0.66666666666666663</v>
      </c>
      <c r="L11" s="70">
        <f>J11*K11</f>
        <v>-4000</v>
      </c>
      <c r="P11" s="70">
        <f>E8</f>
        <v>-6000</v>
      </c>
      <c r="Q11" s="61">
        <f>P6</f>
        <v>0.8</v>
      </c>
      <c r="R11" s="70">
        <f>P11*Q11</f>
        <v>-4800</v>
      </c>
      <c r="U11" s="1" t="s">
        <v>36</v>
      </c>
    </row>
    <row r="13" spans="1:24">
      <c r="J13" s="3" t="s">
        <v>20</v>
      </c>
      <c r="K13" s="71">
        <f>SUM(L10:L11)</f>
        <v>1000</v>
      </c>
      <c r="P13" s="3" t="s">
        <v>20</v>
      </c>
      <c r="Q13" s="71">
        <f>SUM(R10:R11)</f>
        <v>-1800</v>
      </c>
      <c r="U13" s="1" t="s">
        <v>6</v>
      </c>
    </row>
    <row r="14" spans="1:24">
      <c r="V14" s="61" t="s">
        <v>7</v>
      </c>
      <c r="W14" s="61" t="s">
        <v>8</v>
      </c>
      <c r="X14" s="61" t="s">
        <v>19</v>
      </c>
    </row>
    <row r="15" spans="1:24">
      <c r="J15" s="1" t="s">
        <v>21</v>
      </c>
      <c r="P15" s="1" t="s">
        <v>29</v>
      </c>
      <c r="V15" s="70">
        <f>E7</f>
        <v>15000</v>
      </c>
      <c r="W15" s="72" t="s">
        <v>40</v>
      </c>
      <c r="X15" s="73" t="s">
        <v>38</v>
      </c>
    </row>
    <row r="16" spans="1:24">
      <c r="V16" s="70">
        <f>E8</f>
        <v>-6000</v>
      </c>
      <c r="W16" s="72" t="s">
        <v>41</v>
      </c>
      <c r="X16" s="73" t="s">
        <v>37</v>
      </c>
    </row>
    <row r="17" spans="9:24">
      <c r="I17" s="1" t="s">
        <v>9</v>
      </c>
      <c r="O17" s="1" t="s">
        <v>9</v>
      </c>
    </row>
    <row r="18" spans="9:24">
      <c r="J18" s="61" t="s">
        <v>7</v>
      </c>
      <c r="K18" s="61" t="s">
        <v>8</v>
      </c>
      <c r="L18" s="61" t="s">
        <v>19</v>
      </c>
      <c r="P18" s="61" t="s">
        <v>7</v>
      </c>
      <c r="Q18" s="61" t="s">
        <v>8</v>
      </c>
      <c r="R18" s="61" t="s">
        <v>19</v>
      </c>
      <c r="V18" s="3" t="s">
        <v>20</v>
      </c>
      <c r="W18" s="74" t="s">
        <v>39</v>
      </c>
    </row>
    <row r="19" spans="9:24">
      <c r="J19" s="70">
        <f>F7</f>
        <v>-3000</v>
      </c>
      <c r="K19" s="61">
        <f>J5</f>
        <v>0.33333333333333331</v>
      </c>
      <c r="L19" s="70">
        <f>J19*K19</f>
        <v>-1000</v>
      </c>
      <c r="P19" s="70">
        <f>F7</f>
        <v>-3000</v>
      </c>
      <c r="Q19" s="61">
        <f>P5</f>
        <v>0.2</v>
      </c>
      <c r="R19" s="70">
        <f>P19*Q19</f>
        <v>-600</v>
      </c>
    </row>
    <row r="20" spans="9:24">
      <c r="J20" s="70">
        <f>F8</f>
        <v>0</v>
      </c>
      <c r="K20" s="61">
        <f>J6</f>
        <v>0.66666666666666663</v>
      </c>
      <c r="L20" s="70">
        <f>J20*K20</f>
        <v>0</v>
      </c>
      <c r="P20" s="70">
        <f>F8</f>
        <v>0</v>
      </c>
      <c r="Q20" s="61">
        <f>P6</f>
        <v>0.8</v>
      </c>
      <c r="R20" s="70">
        <f>P20*Q20</f>
        <v>0</v>
      </c>
      <c r="V20" s="1" t="s">
        <v>29</v>
      </c>
    </row>
    <row r="22" spans="9:24">
      <c r="J22" s="3" t="s">
        <v>20</v>
      </c>
      <c r="K22" s="71">
        <f>SUM(L19:L20)</f>
        <v>-1000</v>
      </c>
      <c r="P22" s="3" t="s">
        <v>20</v>
      </c>
      <c r="Q22" s="71">
        <f>SUM(R19:R20)</f>
        <v>-600</v>
      </c>
      <c r="U22" s="1" t="s">
        <v>9</v>
      </c>
    </row>
    <row r="23" spans="9:24">
      <c r="V23" s="61" t="s">
        <v>7</v>
      </c>
      <c r="W23" s="61" t="s">
        <v>8</v>
      </c>
      <c r="X23" s="61" t="s">
        <v>19</v>
      </c>
    </row>
    <row r="24" spans="9:24">
      <c r="J24" s="1" t="s">
        <v>22</v>
      </c>
      <c r="P24" s="1" t="s">
        <v>30</v>
      </c>
      <c r="V24" s="70">
        <f>F7</f>
        <v>-3000</v>
      </c>
      <c r="W24" s="72" t="s">
        <v>40</v>
      </c>
      <c r="X24" s="73" t="s">
        <v>42</v>
      </c>
    </row>
    <row r="25" spans="9:24">
      <c r="V25" s="70">
        <f>F8</f>
        <v>0</v>
      </c>
      <c r="W25" s="72" t="s">
        <v>41</v>
      </c>
      <c r="X25" s="70">
        <v>0</v>
      </c>
    </row>
    <row r="27" spans="9:24">
      <c r="I27" s="1" t="s">
        <v>23</v>
      </c>
      <c r="O27" s="1" t="s">
        <v>31</v>
      </c>
      <c r="V27" s="3" t="s">
        <v>20</v>
      </c>
      <c r="W27" s="74" t="s">
        <v>42</v>
      </c>
    </row>
    <row r="29" spans="9:24">
      <c r="V29" s="1" t="s">
        <v>30</v>
      </c>
    </row>
    <row r="31" spans="9:24">
      <c r="V31" s="1" t="s">
        <v>44</v>
      </c>
    </row>
    <row r="33" spans="22:22">
      <c r="V33" s="1" t="s">
        <v>43</v>
      </c>
    </row>
    <row r="35" spans="22:22">
      <c r="V35" s="1" t="s">
        <v>45</v>
      </c>
    </row>
    <row r="37" spans="22:22">
      <c r="V37" s="1" t="s">
        <v>46</v>
      </c>
    </row>
  </sheetData>
  <mergeCells count="2">
    <mergeCell ref="E5:F5"/>
    <mergeCell ref="C7:C8"/>
  </mergeCells>
  <printOptions headings="1" gridLines="1"/>
  <pageMargins left="0.70866141732283472" right="0.70866141732283472" top="0.74803149606299213" bottom="0.74803149606299213" header="0.31496062992125984" footer="0.31496062992125984"/>
  <pageSetup paperSize="9" scale="40" orientation="landscape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D21"/>
  <sheetViews>
    <sheetView workbookViewId="0">
      <selection activeCell="A2" sqref="A2"/>
    </sheetView>
  </sheetViews>
  <sheetFormatPr defaultRowHeight="15"/>
  <cols>
    <col min="1" max="1" width="9.140625" style="1"/>
    <col min="2" max="2" width="32" style="1" customWidth="1"/>
    <col min="3" max="3" width="18.85546875" style="1" customWidth="1"/>
    <col min="4" max="4" width="31" style="1" customWidth="1"/>
    <col min="5" max="16384" width="9.140625" style="1"/>
  </cols>
  <sheetData>
    <row r="1" spans="1:4">
      <c r="A1" s="1" t="s">
        <v>342</v>
      </c>
    </row>
    <row r="3" spans="1:4">
      <c r="B3" s="1" t="s">
        <v>215</v>
      </c>
    </row>
    <row r="4" spans="1:4">
      <c r="B4" s="1" t="s">
        <v>216</v>
      </c>
    </row>
    <row r="6" spans="1:4">
      <c r="B6" s="1" t="s">
        <v>55</v>
      </c>
    </row>
    <row r="8" spans="1:4">
      <c r="B8" s="34" t="s">
        <v>334</v>
      </c>
      <c r="C8" s="35">
        <v>0.45</v>
      </c>
    </row>
    <row r="10" spans="1:4">
      <c r="B10" s="1" t="s">
        <v>212</v>
      </c>
    </row>
    <row r="12" spans="1:4">
      <c r="B12" s="75" t="s">
        <v>217</v>
      </c>
    </row>
    <row r="14" spans="1:4">
      <c r="B14" s="34" t="s">
        <v>213</v>
      </c>
      <c r="C14" s="35">
        <v>23</v>
      </c>
    </row>
    <row r="15" spans="1:4">
      <c r="B15" s="3" t="s">
        <v>214</v>
      </c>
      <c r="C15" s="1">
        <f>C14/60</f>
        <v>0.38333333333333336</v>
      </c>
      <c r="D15" s="2" t="str">
        <f ca="1">_xlfn.FORMULATEXT(C15)</f>
        <v>=C14/60</v>
      </c>
    </row>
    <row r="17" spans="2:4">
      <c r="B17" s="32" t="s">
        <v>318</v>
      </c>
      <c r="C17" s="15">
        <f>_xlfn.EXPON.DIST(C15,C8,TRUE)</f>
        <v>0.15844171118822675</v>
      </c>
      <c r="D17" s="2" t="str">
        <f ca="1">_xlfn.FORMULATEXT(C17)</f>
        <v>=EXPON.DIST(C15,C8,TRUE)</v>
      </c>
    </row>
    <row r="19" spans="2:4">
      <c r="B19" s="3" t="s">
        <v>319</v>
      </c>
      <c r="C19" s="1">
        <f>1-EXP(-C8*C15)</f>
        <v>0.15844171118822681</v>
      </c>
      <c r="D19" s="2" t="str">
        <f ca="1">_xlfn.FORMULATEXT(C19)</f>
        <v>=1-EXP(-C8*C15)</v>
      </c>
    </row>
    <row r="21" spans="2:4">
      <c r="D21" s="2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E49"/>
  <sheetViews>
    <sheetView tabSelected="1" workbookViewId="0">
      <selection activeCell="A2" sqref="A2"/>
    </sheetView>
  </sheetViews>
  <sheetFormatPr defaultColWidth="9.140625" defaultRowHeight="15"/>
  <cols>
    <col min="1" max="1" width="9.140625" style="1"/>
    <col min="2" max="2" width="12.5703125" style="1" customWidth="1"/>
    <col min="3" max="3" width="20.140625" style="1" customWidth="1"/>
    <col min="4" max="4" width="12" style="1" bestFit="1" customWidth="1"/>
    <col min="5" max="5" width="61.7109375" style="1" customWidth="1"/>
    <col min="6" max="6" width="8.7109375" style="1" customWidth="1"/>
    <col min="7" max="16384" width="9.140625" style="1"/>
  </cols>
  <sheetData>
    <row r="1" spans="1:5">
      <c r="A1" s="1" t="s">
        <v>343</v>
      </c>
    </row>
    <row r="3" spans="1:5">
      <c r="B3" s="1" t="s">
        <v>223</v>
      </c>
    </row>
    <row r="5" spans="1:5">
      <c r="B5" s="1" t="s">
        <v>224</v>
      </c>
    </row>
    <row r="7" spans="1:5">
      <c r="C7" s="33" t="s">
        <v>218</v>
      </c>
      <c r="D7" s="25">
        <v>38</v>
      </c>
    </row>
    <row r="8" spans="1:5">
      <c r="C8" s="33" t="s">
        <v>219</v>
      </c>
      <c r="D8" s="25">
        <v>0.2</v>
      </c>
    </row>
    <row r="10" spans="1:5">
      <c r="C10" s="1" t="s">
        <v>225</v>
      </c>
    </row>
    <row r="12" spans="1:5">
      <c r="C12" s="3" t="s">
        <v>226</v>
      </c>
    </row>
    <row r="13" spans="1:5">
      <c r="C13" s="34" t="s">
        <v>47</v>
      </c>
      <c r="D13" s="35">
        <v>37.6</v>
      </c>
    </row>
    <row r="14" spans="1:5">
      <c r="C14" s="3" t="s">
        <v>227</v>
      </c>
      <c r="D14" s="1">
        <f>_xlfn.NORM.DIST(D13,D7,D8,TRUE)</f>
        <v>2.275013194817959E-2</v>
      </c>
      <c r="E14" s="2" t="str">
        <f ca="1">_xlfn.FORMULATEXT(D14)</f>
        <v>=NORM.DIST(D13,D7,D8,TRUE)</v>
      </c>
    </row>
    <row r="15" spans="1:5">
      <c r="C15" s="3" t="s">
        <v>228</v>
      </c>
    </row>
    <row r="16" spans="1:5">
      <c r="C16" s="34" t="s">
        <v>47</v>
      </c>
      <c r="D16" s="35">
        <v>38.4</v>
      </c>
    </row>
    <row r="17" spans="2:5">
      <c r="C17" s="3" t="s">
        <v>229</v>
      </c>
      <c r="D17" s="1">
        <f>1-_xlfn.NORM.DIST(D16,D7,D8,TRUE)</f>
        <v>2.2750131948179542E-2</v>
      </c>
      <c r="E17" s="2" t="str">
        <f t="shared" ref="E17:E18" ca="1" si="0">_xlfn.FORMULATEXT(D17)</f>
        <v>=1-NORM.DIST(D16,D7,D8,TRUE)</v>
      </c>
    </row>
    <row r="18" spans="2:5">
      <c r="C18" s="32" t="s">
        <v>230</v>
      </c>
      <c r="D18" s="15">
        <f>D14+D17</f>
        <v>4.5500263896359132E-2</v>
      </c>
      <c r="E18" s="2" t="str">
        <f t="shared" ca="1" si="0"/>
        <v>=D14+D17</v>
      </c>
    </row>
    <row r="20" spans="2:5">
      <c r="C20" s="1" t="s">
        <v>220</v>
      </c>
    </row>
    <row r="22" spans="2:5">
      <c r="B22" s="1" t="s">
        <v>222</v>
      </c>
    </row>
    <row r="23" spans="2:5">
      <c r="C23" s="3" t="s">
        <v>50</v>
      </c>
      <c r="D23" s="1">
        <v>16</v>
      </c>
    </row>
    <row r="24" spans="2:5">
      <c r="C24" s="3" t="s">
        <v>47</v>
      </c>
      <c r="D24" s="1">
        <v>0</v>
      </c>
    </row>
    <row r="25" spans="2:5">
      <c r="C25" s="32" t="s">
        <v>69</v>
      </c>
      <c r="D25" s="15">
        <f>_xlfn.BINOM.DIST(D24,D23,D18,FALSE)</f>
        <v>0.47469319130644533</v>
      </c>
      <c r="E25" s="2" t="str">
        <f ca="1">_xlfn.FORMULATEXT(D25)</f>
        <v>=BINOM.DIST(D24,D23,D18,FALSE)</v>
      </c>
    </row>
    <row r="27" spans="2:5">
      <c r="B27" s="1" t="s">
        <v>221</v>
      </c>
    </row>
    <row r="28" spans="2:5">
      <c r="C28" s="3" t="s">
        <v>50</v>
      </c>
      <c r="D28" s="1">
        <v>16</v>
      </c>
    </row>
    <row r="29" spans="2:5">
      <c r="C29" s="3" t="s">
        <v>47</v>
      </c>
      <c r="D29" s="1">
        <v>1</v>
      </c>
    </row>
    <row r="30" spans="2:5">
      <c r="C30" s="32" t="s">
        <v>68</v>
      </c>
      <c r="D30" s="15">
        <f>_xlfn.BINOM.DIST(D29,D28,D18,FALSE)</f>
        <v>0.36205211433442136</v>
      </c>
      <c r="E30" s="2" t="str">
        <f ca="1">_xlfn.FORMULATEXT(D30)</f>
        <v>=BINOM.DIST(D29,D28,D18,FALSE)</v>
      </c>
    </row>
    <row r="32" spans="2:5">
      <c r="B32" s="1" t="s">
        <v>232</v>
      </c>
    </row>
    <row r="34" spans="3:5">
      <c r="C34" s="1" t="s">
        <v>223</v>
      </c>
    </row>
    <row r="36" spans="3:5">
      <c r="C36" s="33" t="s">
        <v>218</v>
      </c>
      <c r="D36" s="25">
        <v>39</v>
      </c>
    </row>
    <row r="37" spans="3:5">
      <c r="C37" s="33" t="s">
        <v>219</v>
      </c>
      <c r="D37" s="25">
        <v>0.45</v>
      </c>
    </row>
    <row r="39" spans="3:5">
      <c r="C39" s="1" t="s">
        <v>225</v>
      </c>
    </row>
    <row r="41" spans="3:5">
      <c r="C41" s="3" t="s">
        <v>226</v>
      </c>
    </row>
    <row r="42" spans="3:5">
      <c r="C42" s="34" t="s">
        <v>47</v>
      </c>
      <c r="D42" s="35">
        <v>37.6</v>
      </c>
    </row>
    <row r="43" spans="3:5">
      <c r="C43" s="3" t="s">
        <v>227</v>
      </c>
      <c r="D43" s="1">
        <f>_xlfn.NORM.DIST(D42,D36,D37,TRUE)</f>
        <v>9.319239675149813E-4</v>
      </c>
      <c r="E43" s="2" t="str">
        <f ca="1">_xlfn.FORMULATEXT(D43)</f>
        <v>=NORM.DIST(D42,D36,D37,TRUE)</v>
      </c>
    </row>
    <row r="44" spans="3:5">
      <c r="C44" s="3" t="s">
        <v>228</v>
      </c>
    </row>
    <row r="45" spans="3:5">
      <c r="C45" s="34" t="s">
        <v>47</v>
      </c>
      <c r="D45" s="35">
        <v>38.4</v>
      </c>
    </row>
    <row r="46" spans="3:5">
      <c r="C46" s="3" t="s">
        <v>229</v>
      </c>
      <c r="D46" s="1">
        <f>1-_xlfn.NORM.DIST(D45,D36,D37,TRUE)</f>
        <v>0.90878878027413268</v>
      </c>
      <c r="E46" s="2" t="str">
        <f t="shared" ref="E46:E47" ca="1" si="1">_xlfn.FORMULATEXT(D46)</f>
        <v>=1-NORM.DIST(D45,D36,D37,TRUE)</v>
      </c>
    </row>
    <row r="47" spans="3:5">
      <c r="C47" s="32" t="s">
        <v>230</v>
      </c>
      <c r="D47" s="15">
        <f>D43+D46</f>
        <v>0.90972070424164764</v>
      </c>
      <c r="E47" s="2" t="str">
        <f t="shared" ca="1" si="1"/>
        <v>=D43+D46</v>
      </c>
    </row>
    <row r="49" spans="3:3">
      <c r="C49" s="1" t="s">
        <v>231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0"/>
  <sheetViews>
    <sheetView workbookViewId="0">
      <selection activeCell="E1" sqref="E1"/>
    </sheetView>
  </sheetViews>
  <sheetFormatPr defaultColWidth="9.140625" defaultRowHeight="15"/>
  <cols>
    <col min="1" max="2" width="9.140625" style="4"/>
    <col min="3" max="3" width="20" style="4" customWidth="1"/>
    <col min="4" max="4" width="22.140625" style="4" customWidth="1"/>
    <col min="5" max="5" width="39.5703125" style="4" customWidth="1"/>
    <col min="6" max="16384" width="9.140625" style="4"/>
  </cols>
  <sheetData>
    <row r="1" spans="1:5">
      <c r="A1" s="55" t="s">
        <v>284</v>
      </c>
    </row>
    <row r="3" spans="1:5">
      <c r="B3" s="4" t="s">
        <v>252</v>
      </c>
    </row>
    <row r="5" spans="1:5">
      <c r="C5" s="41" t="s">
        <v>245</v>
      </c>
      <c r="D5" s="4">
        <v>60285</v>
      </c>
    </row>
    <row r="6" spans="1:5">
      <c r="C6" s="40" t="s">
        <v>219</v>
      </c>
      <c r="D6" s="4">
        <v>7230</v>
      </c>
    </row>
    <row r="8" spans="1:5">
      <c r="C8" s="4" t="s">
        <v>251</v>
      </c>
    </row>
    <row r="10" spans="1:5">
      <c r="C10" s="6" t="s">
        <v>250</v>
      </c>
      <c r="D10" s="4">
        <f>_xlfn.NORM.DIST(50000,D5,D6,TRUE)</f>
        <v>7.7434055833986229E-2</v>
      </c>
      <c r="E10" s="8" t="s">
        <v>249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9"/>
  <sheetViews>
    <sheetView workbookViewId="0">
      <selection activeCell="F1" sqref="F1"/>
    </sheetView>
  </sheetViews>
  <sheetFormatPr defaultColWidth="9.140625" defaultRowHeight="15"/>
  <cols>
    <col min="1" max="3" width="9.140625" style="4"/>
    <col min="4" max="4" width="30" style="4" customWidth="1"/>
    <col min="5" max="5" width="19.7109375" style="4" customWidth="1"/>
    <col min="6" max="6" width="75.42578125" style="4" customWidth="1"/>
    <col min="7" max="16384" width="9.140625" style="4"/>
  </cols>
  <sheetData>
    <row r="1" spans="1:6">
      <c r="A1" s="55" t="s">
        <v>285</v>
      </c>
    </row>
    <row r="3" spans="1:6">
      <c r="B3" s="4" t="s">
        <v>260</v>
      </c>
    </row>
    <row r="5" spans="1:6">
      <c r="B5" s="41" t="s">
        <v>245</v>
      </c>
      <c r="C5" s="4">
        <v>48.1</v>
      </c>
    </row>
    <row r="6" spans="1:6" ht="16.5">
      <c r="B6" s="41" t="s">
        <v>244</v>
      </c>
      <c r="C6" s="4">
        <v>1.03</v>
      </c>
    </row>
    <row r="7" spans="1:6">
      <c r="B7" s="40" t="s">
        <v>219</v>
      </c>
      <c r="C7" s="4">
        <f>SQRT(C6)</f>
        <v>1.014889156509222</v>
      </c>
      <c r="D7" s="8" t="str">
        <f ca="1">_xlfn.FORMULATEXT(C7)</f>
        <v>=SQRT(C6)</v>
      </c>
    </row>
    <row r="9" spans="1:6">
      <c r="C9" s="9" t="s">
        <v>259</v>
      </c>
    </row>
    <row r="11" spans="1:6">
      <c r="D11" s="4" t="s">
        <v>323</v>
      </c>
      <c r="E11" s="4">
        <f>_xlfn.NORM.DIST(47.9,C5,C7,TRUE)+(1-_xlfn.NORM.DIST(48.2,C5,C7,TRUE))</f>
        <v>0.88264256462894441</v>
      </c>
      <c r="F11" s="8" t="str">
        <f ca="1">_xlfn.FORMULATEXT(E11)</f>
        <v>=NORM.DIST(47.9,C5,C7,TRUE)+(1-NORM.DIST(48.2,C5,C7,TRUE))</v>
      </c>
    </row>
    <row r="13" spans="1:6">
      <c r="C13" s="4" t="s">
        <v>258</v>
      </c>
    </row>
    <row r="15" spans="1:6">
      <c r="D15" s="4" t="s">
        <v>324</v>
      </c>
    </row>
    <row r="17" spans="3:6">
      <c r="D17" s="4" t="s">
        <v>257</v>
      </c>
      <c r="E17" s="4">
        <v>47.9</v>
      </c>
    </row>
    <row r="18" spans="3:6">
      <c r="D18" s="4" t="s">
        <v>256</v>
      </c>
      <c r="E18" s="4">
        <v>48.2</v>
      </c>
    </row>
    <row r="19" spans="3:6">
      <c r="D19" s="4" t="s">
        <v>238</v>
      </c>
      <c r="E19" s="4">
        <f>(E17+E18)/2</f>
        <v>48.05</v>
      </c>
      <c r="F19" s="8" t="str">
        <f ca="1">_xlfn.FORMULATEXT(E19)</f>
        <v>=(E17+E18)/2</v>
      </c>
    </row>
    <row r="21" spans="3:6">
      <c r="D21" s="4" t="s">
        <v>255</v>
      </c>
      <c r="E21" s="4">
        <f>_xlfn.NORM.DIST(E17,E19,C7,TRUE)+(1-_xlfn.NORM.DIST(E18,E19,C7,TRUE))</f>
        <v>0.88250108939988892</v>
      </c>
      <c r="F21" s="8" t="str">
        <f ca="1">_xlfn.FORMULATEXT(E21)</f>
        <v>=NORM.DIST(E17,E19,C7,TRUE)+(1-NORM.DIST(E18,E19,C7,TRUE))</v>
      </c>
    </row>
    <row r="23" spans="3:6">
      <c r="C23" s="4" t="s">
        <v>325</v>
      </c>
    </row>
    <row r="26" spans="3:6">
      <c r="D26" s="6" t="s">
        <v>254</v>
      </c>
      <c r="E26" s="4">
        <f>_xlfn.NORM.DIST(E17,C5,C7,TRUE)/2</f>
        <v>0.21094400067707211</v>
      </c>
      <c r="F26" s="8" t="str">
        <f ca="1">_xlfn.FORMULATEXT(E26)</f>
        <v>=NORM.DIST(E17,C5,C7,TRUE)/2</v>
      </c>
    </row>
    <row r="28" spans="3:6">
      <c r="D28" s="4" t="s">
        <v>326</v>
      </c>
    </row>
    <row r="30" spans="3:6">
      <c r="D30" s="6" t="s">
        <v>48</v>
      </c>
      <c r="E30" s="5">
        <f>_xlfn.NORM.S.INV(E26)</f>
        <v>-0.80315006866645877</v>
      </c>
      <c r="F30" s="8" t="str">
        <f ca="1">_xlfn.FORMULATEXT(E30)</f>
        <v>=NORM.S.INV(E26)</v>
      </c>
    </row>
    <row r="32" spans="3:6">
      <c r="D32" s="4" t="s">
        <v>327</v>
      </c>
    </row>
    <row r="34" spans="4:6">
      <c r="D34" s="6" t="s">
        <v>253</v>
      </c>
      <c r="E34" s="4">
        <f>(E17-C5)/E30</f>
        <v>0.24901946448448989</v>
      </c>
      <c r="F34" s="8" t="str">
        <f ca="1">_xlfn.FORMULATEXT(E34)</f>
        <v>=(E17-C5)/E30</v>
      </c>
    </row>
    <row r="36" spans="4:6">
      <c r="D36" s="4" t="s">
        <v>328</v>
      </c>
    </row>
    <row r="45" spans="4:6">
      <c r="F45" s="8"/>
    </row>
    <row r="49" spans="6:6">
      <c r="F49" s="8"/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scale="53" orientation="landscape" horizontalDpi="0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5"/>
  <sheetViews>
    <sheetView zoomScale="90" zoomScaleNormal="90" workbookViewId="0">
      <selection activeCell="E1" sqref="E1"/>
    </sheetView>
  </sheetViews>
  <sheetFormatPr defaultRowHeight="15"/>
  <cols>
    <col min="1" max="1" width="9.140625" style="1"/>
    <col min="2" max="3" width="9.140625" style="58"/>
    <col min="4" max="4" width="9.140625" style="1"/>
    <col min="5" max="5" width="14.28515625" style="1" customWidth="1"/>
    <col min="6" max="16384" width="9.140625" style="1"/>
  </cols>
  <sheetData>
    <row r="1" spans="1:5">
      <c r="A1" s="1" t="s">
        <v>289</v>
      </c>
    </row>
    <row r="3" spans="1:5">
      <c r="B3" s="59" t="s">
        <v>286</v>
      </c>
      <c r="C3" s="59" t="s">
        <v>287</v>
      </c>
      <c r="E3" s="60" t="s">
        <v>288</v>
      </c>
    </row>
    <row r="4" spans="1:5">
      <c r="B4" s="61">
        <v>1</v>
      </c>
      <c r="C4" s="61">
        <v>3.4</v>
      </c>
    </row>
    <row r="5" spans="1:5">
      <c r="B5" s="61">
        <v>2</v>
      </c>
      <c r="C5" s="61">
        <v>4.3</v>
      </c>
    </row>
    <row r="6" spans="1:5">
      <c r="B6" s="61">
        <v>3</v>
      </c>
      <c r="C6" s="61">
        <v>4.3999999999999995</v>
      </c>
    </row>
    <row r="7" spans="1:5">
      <c r="B7" s="61">
        <v>4</v>
      </c>
      <c r="C7" s="61">
        <v>3.7</v>
      </c>
    </row>
    <row r="8" spans="1:5">
      <c r="B8" s="61">
        <v>5</v>
      </c>
      <c r="C8" s="61">
        <v>4.0999999999999996</v>
      </c>
    </row>
    <row r="9" spans="1:5">
      <c r="B9" s="61">
        <v>6</v>
      </c>
      <c r="C9" s="61">
        <v>2.8000000000000003</v>
      </c>
    </row>
    <row r="10" spans="1:5">
      <c r="B10" s="61">
        <v>7</v>
      </c>
      <c r="C10" s="61">
        <v>3.8000000000000003</v>
      </c>
    </row>
    <row r="11" spans="1:5">
      <c r="B11" s="61">
        <v>8</v>
      </c>
      <c r="C11" s="61">
        <v>3.2</v>
      </c>
    </row>
    <row r="12" spans="1:5">
      <c r="B12" s="61">
        <v>9</v>
      </c>
      <c r="C12" s="61">
        <v>3.3000000000000003</v>
      </c>
    </row>
    <row r="13" spans="1:5">
      <c r="B13" s="61">
        <v>10</v>
      </c>
      <c r="C13" s="61">
        <v>3.2</v>
      </c>
    </row>
    <row r="14" spans="1:5">
      <c r="B14" s="61">
        <v>11</v>
      </c>
      <c r="C14" s="61">
        <v>4</v>
      </c>
    </row>
    <row r="15" spans="1:5">
      <c r="B15" s="61">
        <v>12</v>
      </c>
      <c r="C15" s="61">
        <v>4.3</v>
      </c>
    </row>
    <row r="16" spans="1:5">
      <c r="B16" s="61">
        <v>13</v>
      </c>
      <c r="C16" s="61">
        <v>3.9</v>
      </c>
    </row>
    <row r="17" spans="2:3">
      <c r="B17" s="61">
        <v>14</v>
      </c>
      <c r="C17" s="61">
        <v>3.7</v>
      </c>
    </row>
    <row r="18" spans="2:3">
      <c r="B18" s="61">
        <v>15</v>
      </c>
      <c r="C18" s="61">
        <v>3.9</v>
      </c>
    </row>
    <row r="19" spans="2:3">
      <c r="B19" s="61">
        <v>16</v>
      </c>
      <c r="C19" s="61">
        <v>3.5</v>
      </c>
    </row>
    <row r="20" spans="2:3">
      <c r="B20" s="61">
        <v>17</v>
      </c>
      <c r="C20" s="61">
        <v>4.1999999999999993</v>
      </c>
    </row>
    <row r="21" spans="2:3">
      <c r="B21" s="61">
        <v>18</v>
      </c>
      <c r="C21" s="61">
        <v>3.1</v>
      </c>
    </row>
    <row r="22" spans="2:3">
      <c r="B22" s="61">
        <v>19</v>
      </c>
      <c r="C22" s="61">
        <v>2.7</v>
      </c>
    </row>
    <row r="23" spans="2:3">
      <c r="B23" s="61">
        <v>20</v>
      </c>
      <c r="C23" s="61">
        <v>3.2</v>
      </c>
    </row>
    <row r="24" spans="2:3">
      <c r="B24" s="61">
        <v>21</v>
      </c>
      <c r="C24" s="61">
        <v>4.3999999999999995</v>
      </c>
    </row>
    <row r="25" spans="2:3">
      <c r="B25" s="61">
        <v>22</v>
      </c>
      <c r="C25" s="61">
        <v>4.5</v>
      </c>
    </row>
    <row r="26" spans="2:3">
      <c r="B26" s="61">
        <v>23</v>
      </c>
      <c r="C26" s="61">
        <v>4.6999999999999993</v>
      </c>
    </row>
    <row r="27" spans="2:3">
      <c r="B27" s="61">
        <v>24</v>
      </c>
      <c r="C27" s="61">
        <v>4.5999999999999996</v>
      </c>
    </row>
    <row r="28" spans="2:3">
      <c r="B28" s="61">
        <v>25</v>
      </c>
      <c r="C28" s="61">
        <v>4.8</v>
      </c>
    </row>
    <row r="29" spans="2:3">
      <c r="B29" s="61">
        <v>26</v>
      </c>
      <c r="C29" s="61">
        <v>3.8000000000000003</v>
      </c>
    </row>
    <row r="30" spans="2:3">
      <c r="B30" s="61">
        <v>27</v>
      </c>
      <c r="C30" s="61">
        <v>3.3000000000000003</v>
      </c>
    </row>
    <row r="31" spans="2:3">
      <c r="B31" s="61">
        <v>28</v>
      </c>
      <c r="C31" s="61">
        <v>4.0999999999999996</v>
      </c>
    </row>
    <row r="32" spans="2:3">
      <c r="B32" s="61">
        <v>29</v>
      </c>
      <c r="C32" s="61">
        <v>3.5</v>
      </c>
    </row>
    <row r="33" spans="2:9">
      <c r="B33" s="61">
        <v>30</v>
      </c>
      <c r="C33" s="61">
        <v>3.9</v>
      </c>
    </row>
    <row r="34" spans="2:9">
      <c r="B34" s="61">
        <v>31</v>
      </c>
      <c r="C34" s="61">
        <v>4.6999999999999993</v>
      </c>
      <c r="H34" s="60" t="s">
        <v>290</v>
      </c>
    </row>
    <row r="35" spans="2:9">
      <c r="B35" s="61">
        <v>32</v>
      </c>
      <c r="C35" s="61">
        <v>4.6999999999999993</v>
      </c>
    </row>
    <row r="36" spans="2:9">
      <c r="B36" s="61">
        <v>33</v>
      </c>
      <c r="C36" s="61">
        <v>3.1</v>
      </c>
      <c r="H36" s="1" t="s">
        <v>293</v>
      </c>
    </row>
    <row r="37" spans="2:9">
      <c r="B37" s="61">
        <v>34</v>
      </c>
      <c r="C37" s="61">
        <v>3.2</v>
      </c>
    </row>
    <row r="38" spans="2:9">
      <c r="B38" s="61">
        <v>35</v>
      </c>
      <c r="C38" s="61">
        <v>4.0999999999999996</v>
      </c>
      <c r="H38" s="1" t="s">
        <v>329</v>
      </c>
    </row>
    <row r="39" spans="2:9">
      <c r="B39" s="61">
        <v>36</v>
      </c>
      <c r="C39" s="61">
        <v>3.8000000000000003</v>
      </c>
    </row>
    <row r="40" spans="2:9">
      <c r="H40" s="1" t="s">
        <v>330</v>
      </c>
    </row>
    <row r="42" spans="2:9">
      <c r="I42" s="1" t="s">
        <v>291</v>
      </c>
    </row>
    <row r="43" spans="2:9">
      <c r="I43" s="1" t="s">
        <v>292</v>
      </c>
    </row>
    <row r="45" spans="2:9">
      <c r="H45" s="1" t="s">
        <v>331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0"/>
  <sheetViews>
    <sheetView workbookViewId="0">
      <selection activeCell="D31" sqref="D31"/>
    </sheetView>
  </sheetViews>
  <sheetFormatPr defaultRowHeight="15"/>
  <cols>
    <col min="1" max="1" width="9.140625" style="1"/>
    <col min="2" max="2" width="33.42578125" style="1" customWidth="1"/>
    <col min="3" max="3" width="24" style="1" customWidth="1"/>
    <col min="4" max="4" width="41.7109375" style="1" customWidth="1"/>
    <col min="5" max="16384" width="9.140625" style="1"/>
  </cols>
  <sheetData>
    <row r="1" spans="1:4">
      <c r="A1" s="1" t="s">
        <v>294</v>
      </c>
    </row>
    <row r="4" spans="1:4">
      <c r="B4" s="3" t="s">
        <v>164</v>
      </c>
      <c r="C4" s="1">
        <v>6</v>
      </c>
    </row>
    <row r="6" spans="1:4">
      <c r="B6" s="3" t="s">
        <v>166</v>
      </c>
      <c r="C6" s="1">
        <v>-1.45</v>
      </c>
    </row>
    <row r="7" spans="1:4">
      <c r="B7" s="56" t="s">
        <v>274</v>
      </c>
      <c r="C7" s="57">
        <f>_xlfn.T.DIST(C6,C4,TRUE)</f>
        <v>9.8621124297015611E-2</v>
      </c>
      <c r="D7" s="2" t="str">
        <f ca="1">_xlfn.FORMULATEXT(C7)</f>
        <v>=T.DIST(C6,C4,TRUE)</v>
      </c>
    </row>
    <row r="9" spans="1:4">
      <c r="B9" s="3" t="s">
        <v>166</v>
      </c>
      <c r="C9" s="1">
        <v>0</v>
      </c>
    </row>
    <row r="10" spans="1:4">
      <c r="B10" s="56" t="s">
        <v>275</v>
      </c>
      <c r="C10" s="57">
        <f>_xlfn.T.DIST(C9,C4,TRUE)</f>
        <v>0.5</v>
      </c>
      <c r="D10" s="2" t="str">
        <f ca="1">_xlfn.FORMULATEXT(C10)</f>
        <v>=T.DIST(C9,C4,TRUE)</v>
      </c>
    </row>
    <row r="12" spans="1:4">
      <c r="B12" s="3" t="s">
        <v>276</v>
      </c>
      <c r="C12" s="1">
        <v>0.3</v>
      </c>
    </row>
    <row r="13" spans="1:4">
      <c r="B13" s="3" t="s">
        <v>277</v>
      </c>
      <c r="C13" s="1">
        <v>1.4</v>
      </c>
    </row>
    <row r="15" spans="1:4">
      <c r="B15" s="56" t="s">
        <v>278</v>
      </c>
      <c r="C15" s="57">
        <f>_xlfn.T.DIST(C13,C4,TRUE)-_xlfn.T.DIST(C12,C4,TRUE)</f>
        <v>0.28162890676563368</v>
      </c>
      <c r="D15" s="2" t="str">
        <f ca="1">_xlfn.FORMULATEXT(C15)</f>
        <v>=T.DIST(C13,C4,TRUE)-T.DIST(C12,C4,TRUE)</v>
      </c>
    </row>
    <row r="17" spans="2:4">
      <c r="B17" s="3" t="s">
        <v>276</v>
      </c>
      <c r="C17" s="1">
        <v>-1.34</v>
      </c>
    </row>
    <row r="18" spans="2:4">
      <c r="B18" s="3" t="s">
        <v>277</v>
      </c>
      <c r="C18" s="1">
        <v>1.8</v>
      </c>
    </row>
    <row r="20" spans="2:4">
      <c r="B20" s="56" t="s">
        <v>279</v>
      </c>
      <c r="C20" s="57">
        <f>_xlfn.T.DIST(C18,C4,TRUE)-_xlfn.T.DIST(C17,C4,TRUE)</f>
        <v>0.8246437968976158</v>
      </c>
      <c r="D20" s="2" t="str">
        <f ca="1">_xlfn.FORMULATEXT(C20)</f>
        <v>=T.DIST(C18,C4,TRUE)-T.DIST(C17,C4,TRUE)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7"/>
  <sheetViews>
    <sheetView workbookViewId="0">
      <selection activeCell="D8" sqref="D8"/>
    </sheetView>
  </sheetViews>
  <sheetFormatPr defaultRowHeight="15"/>
  <cols>
    <col min="1" max="1" width="9.140625" style="1"/>
    <col min="2" max="2" width="18.7109375" style="1" customWidth="1"/>
    <col min="3" max="3" width="9.140625" style="1"/>
    <col min="4" max="4" width="19.28515625" style="1" customWidth="1"/>
    <col min="5" max="16384" width="9.140625" style="1"/>
  </cols>
  <sheetData>
    <row r="1" spans="1:4">
      <c r="A1" s="1" t="s">
        <v>295</v>
      </c>
    </row>
    <row r="3" spans="1:4">
      <c r="B3" s="3" t="s">
        <v>164</v>
      </c>
      <c r="C3" s="1">
        <v>15</v>
      </c>
    </row>
    <row r="5" spans="1:4">
      <c r="B5" s="3" t="s">
        <v>166</v>
      </c>
      <c r="C5" s="1">
        <v>2.0499999999999998</v>
      </c>
    </row>
    <row r="7" spans="1:4">
      <c r="B7" s="56" t="s">
        <v>280</v>
      </c>
      <c r="C7" s="57">
        <f>_xlfn.T.DIST.RT(C5,C3)</f>
        <v>2.9133897504440318E-2</v>
      </c>
      <c r="D7" s="44" t="str">
        <f ca="1">_xlfn.FORMULATEXT(C7)</f>
        <v>=T.DIST.RT(C5,C3)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8"/>
  <sheetViews>
    <sheetView workbookViewId="0">
      <selection activeCell="D9" sqref="D9"/>
    </sheetView>
  </sheetViews>
  <sheetFormatPr defaultColWidth="8.85546875" defaultRowHeight="15"/>
  <cols>
    <col min="1" max="3" width="8.85546875" style="4"/>
    <col min="4" max="4" width="21.28515625" style="4" customWidth="1"/>
    <col min="5" max="16384" width="8.85546875" style="4"/>
  </cols>
  <sheetData>
    <row r="1" spans="1:4">
      <c r="A1" s="4" t="s">
        <v>296</v>
      </c>
    </row>
    <row r="4" spans="1:4">
      <c r="B4" s="6" t="s">
        <v>165</v>
      </c>
      <c r="C4" s="4">
        <v>0.1</v>
      </c>
    </row>
    <row r="5" spans="1:4" ht="18">
      <c r="B5" s="6" t="s">
        <v>262</v>
      </c>
      <c r="C5" s="4">
        <v>5</v>
      </c>
    </row>
    <row r="6" spans="1:4" ht="18">
      <c r="B6" s="6" t="s">
        <v>263</v>
      </c>
      <c r="C6" s="4">
        <v>7</v>
      </c>
    </row>
    <row r="8" spans="1:4">
      <c r="B8" s="37" t="s">
        <v>167</v>
      </c>
      <c r="C8" s="38">
        <f>_xlfn.F.INV.RT(C4,C5,C6)</f>
        <v>2.8833444956782133</v>
      </c>
      <c r="D8" s="8" t="str">
        <f ca="1">_xlfn.FORMULATEXT(C8)</f>
        <v>=F.INV.RT(C4,C5,C6)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</vt:i4>
      </vt:variant>
    </vt:vector>
  </HeadingPairs>
  <TitlesOfParts>
    <vt:vector size="35" baseType="lpstr">
      <vt:lpstr>X3.1</vt:lpstr>
      <vt:lpstr>X3.2</vt:lpstr>
      <vt:lpstr>X3.3</vt:lpstr>
      <vt:lpstr>X3.4</vt:lpstr>
      <vt:lpstr>X3.5</vt:lpstr>
      <vt:lpstr>X3.6</vt:lpstr>
      <vt:lpstr>X3.7</vt:lpstr>
      <vt:lpstr>X3.8</vt:lpstr>
      <vt:lpstr>X3.9</vt:lpstr>
      <vt:lpstr>X3.10</vt:lpstr>
      <vt:lpstr>X3.11</vt:lpstr>
      <vt:lpstr>X3.12</vt:lpstr>
      <vt:lpstr>X3.13-X3.15</vt:lpstr>
      <vt:lpstr>X3.16</vt:lpstr>
      <vt:lpstr>X3.17</vt:lpstr>
      <vt:lpstr>X3.18</vt:lpstr>
      <vt:lpstr>X3.19</vt:lpstr>
      <vt:lpstr>X3.20</vt:lpstr>
      <vt:lpstr>X3.21</vt:lpstr>
      <vt:lpstr>X3.22</vt:lpstr>
      <vt:lpstr>X3.23</vt:lpstr>
      <vt:lpstr>X3.24</vt:lpstr>
      <vt:lpstr>X3.25</vt:lpstr>
      <vt:lpstr>X3.26</vt:lpstr>
      <vt:lpstr>X3.27</vt:lpstr>
      <vt:lpstr>TU3.1</vt:lpstr>
      <vt:lpstr>TU3.2</vt:lpstr>
      <vt:lpstr>TU3.3</vt:lpstr>
      <vt:lpstr>TU3.4</vt:lpstr>
      <vt:lpstr>TU3.5</vt:lpstr>
      <vt:lpstr>TU3.6</vt:lpstr>
      <vt:lpstr>TU3.7</vt:lpstr>
      <vt:lpstr>TU3.8</vt:lpstr>
      <vt:lpstr>TU3.9</vt:lpstr>
      <vt:lpstr>TU3.1!OLE_LINK2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2017-06-28T13:29:43Z</dcterms:created>
  <dcterms:modified xsi:type="dcterms:W3CDTF">2020-09-10T09:54:04Z</dcterms:modified>
</cp:coreProperties>
</file>